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0" windowWidth="12420" windowHeight="12825" tabRatio="879"/>
  </bookViews>
  <sheets>
    <sheet name="Table of Contents" sheetId="62" r:id="rId1"/>
    <sheet name="Project Matrix" sheetId="6" r:id="rId2"/>
    <sheet name="Detailed Annual Model" sheetId="5" r:id="rId3"/>
    <sheet name="Benefits Summary" sheetId="20" r:id="rId4"/>
    <sheet name="Cost and Funding Summary" sheetId="16" r:id="rId5"/>
    <sheet name="BCA Ratio" sheetId="23" r:id="rId6"/>
    <sheet name="Benefits and Costs Summary" sheetId="19" r:id="rId7"/>
    <sheet name="Job Creation " sheetId="22" r:id="rId8"/>
    <sheet name="Construction Costs Summary" sheetId="29" r:id="rId9"/>
    <sheet name="Maintenance Costs Summary" sheetId="31" r:id="rId10"/>
    <sheet name="Lifecycle Cost Savings Summary" sheetId="33" r:id="rId11"/>
    <sheet name="Land Value - Existing Summary" sheetId="24" r:id="rId12"/>
    <sheet name="Land Value - New Summary" sheetId="30" r:id="rId13"/>
    <sheet name="Safety Summary" sheetId="35" r:id="rId14"/>
    <sheet name="Project Costs" sheetId="15" r:id="rId15"/>
    <sheet name="Project Costs by Quarter" sheetId="47" r:id="rId16"/>
    <sheet name="Maintenance and Repair Costs" sheetId="32" r:id="rId17"/>
    <sheet name="No Build Maintenance " sheetId="34" r:id="rId18"/>
    <sheet name="Land Value Assumptions" sheetId="1" r:id="rId19"/>
    <sheet name="Safety Assumptions" sheetId="45" r:id="rId20"/>
    <sheet name="CPI Data" sheetId="50" r:id="rId21"/>
    <sheet name="Safety Benefits Calculation" sheetId="49" r:id="rId22"/>
    <sheet name="Land Value Calc. - Existing" sheetId="54" r:id="rId23"/>
    <sheet name="Dev Assumptions &amp; Summary" sheetId="55" r:id="rId24"/>
    <sheet name="Development Costs" sheetId="56" r:id="rId25"/>
    <sheet name="Dev Program Opt 1" sheetId="57" r:id="rId26"/>
    <sheet name="Scen 1 Proforma" sheetId="58" r:id="rId27"/>
    <sheet name="Dev Program Opt 2" sheetId="59" r:id="rId28"/>
    <sheet name="Scen 2 Proforma" sheetId="60" r:id="rId29"/>
  </sheets>
  <externalReferences>
    <externalReference r:id="rId30"/>
  </externalReferences>
  <definedNames>
    <definedName name="_xlnm._FilterDatabase" localSheetId="22" hidden="1">'Land Value Calc. - Existing'!$A$6:$H$870</definedName>
    <definedName name="_xlnm.Database" localSheetId="0">[1]gisinnerloopparcels!#REF!</definedName>
    <definedName name="_xlnm.Database">[1]gisinnerloopparcels!#REF!</definedName>
    <definedName name="_xlnm.Print_Area" localSheetId="5">'BCA Ratio'!$A$1:$E$12</definedName>
    <definedName name="_xlnm.Print_Area" localSheetId="6">'Benefits and Costs Summary'!$A$1:$L$44</definedName>
    <definedName name="_xlnm.Print_Area" localSheetId="3">'Benefits Summary'!$A$1:$E$23</definedName>
    <definedName name="_xlnm.Print_Area" localSheetId="8">'Construction Costs Summary'!$A$1:$E$44</definedName>
    <definedName name="_xlnm.Print_Area" localSheetId="4">'Cost and Funding Summary'!$A$1:$E$17</definedName>
    <definedName name="_xlnm.Print_Area" localSheetId="20">'CPI Data'!$A$1:$Q$35</definedName>
    <definedName name="_xlnm.Print_Area" localSheetId="2">'Detailed Annual Model'!$A$1:$AJ$42</definedName>
    <definedName name="_xlnm.Print_Area" localSheetId="23">'Dev Assumptions &amp; Summary'!$A$1:$I$96</definedName>
    <definedName name="_xlnm.Print_Area" localSheetId="25">'Dev Program Opt 1'!$A$1:$R$61</definedName>
    <definedName name="_xlnm.Print_Area" localSheetId="27">'Dev Program Opt 2'!$A$1:$U$63</definedName>
    <definedName name="_xlnm.Print_Area" localSheetId="24">'Development Costs'!$A$1:$E$23</definedName>
    <definedName name="_xlnm.Print_Area" localSheetId="7">'Job Creation '!$A$1:$E$18</definedName>
    <definedName name="_xlnm.Print_Area" localSheetId="11">'Land Value - Existing Summary'!$A$1:$E$44</definedName>
    <definedName name="_xlnm.Print_Area" localSheetId="12">'Land Value - New Summary'!$A$1:$E$44</definedName>
    <definedName name="_xlnm.Print_Area" localSheetId="18">'Land Value Assumptions'!$A$1:$F$22</definedName>
    <definedName name="_xlnm.Print_Area" localSheetId="10">'Lifecycle Cost Savings Summary'!$A$1:$G$44</definedName>
    <definedName name="_xlnm.Print_Area" localSheetId="16">'Maintenance and Repair Costs'!$A$1:$F$10</definedName>
    <definedName name="_xlnm.Print_Area" localSheetId="9">'Maintenance Costs Summary'!$A$1:$E$44</definedName>
    <definedName name="_xlnm.Print_Area" localSheetId="17">'No Build Maintenance '!$A$1:$F$36</definedName>
    <definedName name="_xlnm.Print_Area" localSheetId="14">'Project Costs'!$A$1:$D$14</definedName>
    <definedName name="_xlnm.Print_Area" localSheetId="15">'Project Costs by Quarter'!$A$1:$D$18</definedName>
    <definedName name="_xlnm.Print_Area" localSheetId="1">'Project Matrix'!$A$1:$I$11</definedName>
    <definedName name="_xlnm.Print_Area" localSheetId="19">'Safety Assumptions'!$A$1:$E$30</definedName>
    <definedName name="_xlnm.Print_Area" localSheetId="13">'Safety Summary'!$A$1:$E$45</definedName>
    <definedName name="_xlnm.Print_Area" localSheetId="26">'Scen 1 Proforma'!$A$1:$S$25</definedName>
    <definedName name="_xlnm.Print_Area" localSheetId="28">'Scen 2 Proforma'!$A$1:$T$24</definedName>
    <definedName name="_xlnm.Print_Area" localSheetId="0">'Table of Contents'!$A$1:$E$41</definedName>
    <definedName name="_xlnm.Print_Titles" localSheetId="2">'Detailed Annual Model'!$B:$B</definedName>
    <definedName name="_xlnm.Print_Titles" localSheetId="22">'Land Value Calc. - Existing'!$6:$6</definedName>
  </definedNames>
  <calcPr calcId="145621"/>
</workbook>
</file>

<file path=xl/calcChain.xml><?xml version="1.0" encoding="utf-8"?>
<calcChain xmlns="http://schemas.openxmlformats.org/spreadsheetml/2006/main">
  <c r="B12" i="60" l="1"/>
  <c r="J11" i="60"/>
  <c r="K11" i="60" s="1"/>
  <c r="E11" i="60"/>
  <c r="B11" i="60"/>
  <c r="B22" i="60" s="1"/>
  <c r="J10" i="60"/>
  <c r="K10" i="60" s="1"/>
  <c r="E10" i="60"/>
  <c r="B10" i="60"/>
  <c r="B21" i="60" s="1"/>
  <c r="J9" i="60"/>
  <c r="K9" i="60" s="1"/>
  <c r="H9" i="60"/>
  <c r="B9" i="60"/>
  <c r="B20" i="60" s="1"/>
  <c r="J8" i="60"/>
  <c r="B8" i="60"/>
  <c r="B19" i="60" s="1"/>
  <c r="E61" i="59"/>
  <c r="E60" i="59"/>
  <c r="E58" i="59"/>
  <c r="E57" i="59"/>
  <c r="E55" i="59"/>
  <c r="E54" i="59"/>
  <c r="E52" i="59"/>
  <c r="F34" i="59"/>
  <c r="J34" i="59" s="1"/>
  <c r="F32" i="59"/>
  <c r="J32" i="59" s="1"/>
  <c r="E31" i="59"/>
  <c r="F29" i="59"/>
  <c r="J29" i="59" s="1"/>
  <c r="F27" i="59"/>
  <c r="J27" i="59" s="1"/>
  <c r="E26" i="59"/>
  <c r="J23" i="59"/>
  <c r="F54" i="59" s="1"/>
  <c r="F23" i="59"/>
  <c r="F24" i="59" s="1"/>
  <c r="J24" i="59" s="1"/>
  <c r="F22" i="59"/>
  <c r="J22" i="59" s="1"/>
  <c r="F21" i="59"/>
  <c r="G21" i="59" s="1"/>
  <c r="L21" i="59" s="1"/>
  <c r="N21" i="59" s="1"/>
  <c r="P21" i="59" s="1"/>
  <c r="E21" i="59"/>
  <c r="M19" i="59"/>
  <c r="G52" i="59" s="1"/>
  <c r="L19" i="59"/>
  <c r="J19" i="59"/>
  <c r="F52" i="59" s="1"/>
  <c r="F19" i="59"/>
  <c r="F18" i="59"/>
  <c r="J18" i="59" s="1"/>
  <c r="F17" i="59"/>
  <c r="E17" i="59"/>
  <c r="L18" i="59" s="1"/>
  <c r="L17" i="59" s="1"/>
  <c r="N17" i="59" s="1"/>
  <c r="P17" i="59" s="1"/>
  <c r="O15" i="59"/>
  <c r="F15" i="59"/>
  <c r="G15" i="59" s="1"/>
  <c r="E15" i="59"/>
  <c r="M13" i="59"/>
  <c r="G49" i="59" s="1"/>
  <c r="J13" i="59"/>
  <c r="K13" i="59" s="1"/>
  <c r="E13" i="59"/>
  <c r="G13" i="59" s="1"/>
  <c r="M11" i="59"/>
  <c r="K11" i="59"/>
  <c r="J11" i="59"/>
  <c r="F48" i="59" s="1"/>
  <c r="E11" i="59"/>
  <c r="L11" i="59" s="1"/>
  <c r="N11" i="59" s="1"/>
  <c r="M9" i="59"/>
  <c r="J9" i="59"/>
  <c r="K9" i="59" s="1"/>
  <c r="E9" i="59"/>
  <c r="G9" i="59" s="1"/>
  <c r="J7" i="59"/>
  <c r="K7" i="59" s="1"/>
  <c r="F7" i="59"/>
  <c r="E7" i="59"/>
  <c r="G7" i="59" s="1"/>
  <c r="B12" i="58"/>
  <c r="J11" i="58"/>
  <c r="K11" i="58" s="1"/>
  <c r="E11" i="58"/>
  <c r="B11" i="58"/>
  <c r="B22" i="58" s="1"/>
  <c r="K10" i="58"/>
  <c r="J10" i="58"/>
  <c r="E10" i="58"/>
  <c r="E12" i="58" s="1"/>
  <c r="B10" i="58"/>
  <c r="B21" i="58" s="1"/>
  <c r="B90" i="55" s="1"/>
  <c r="J9" i="58"/>
  <c r="H9" i="58"/>
  <c r="K9" i="58" s="1"/>
  <c r="B9" i="58"/>
  <c r="B20" i="58" s="1"/>
  <c r="B89" i="55" s="1"/>
  <c r="J8" i="58"/>
  <c r="B8" i="58"/>
  <c r="B19" i="58" s="1"/>
  <c r="E59" i="57"/>
  <c r="E58" i="57"/>
  <c r="G55" i="57"/>
  <c r="F49" i="57"/>
  <c r="E49" i="57"/>
  <c r="F48" i="57"/>
  <c r="E48" i="57"/>
  <c r="F38" i="57"/>
  <c r="E38" i="57"/>
  <c r="M35" i="57"/>
  <c r="J35" i="57"/>
  <c r="F59" i="57" s="1"/>
  <c r="F35" i="57"/>
  <c r="F34" i="57"/>
  <c r="M34" i="57" s="1"/>
  <c r="F33" i="57"/>
  <c r="J33" i="57" s="1"/>
  <c r="E32" i="57"/>
  <c r="F30" i="57"/>
  <c r="F29" i="57" s="1"/>
  <c r="L29" i="57"/>
  <c r="F28" i="57"/>
  <c r="J28" i="57" s="1"/>
  <c r="E27" i="57"/>
  <c r="F25" i="57"/>
  <c r="J25" i="57" s="1"/>
  <c r="L24" i="57"/>
  <c r="N24" i="57" s="1"/>
  <c r="J24" i="57"/>
  <c r="F52" i="57" s="1"/>
  <c r="N23" i="57"/>
  <c r="J23" i="57"/>
  <c r="F22" i="57"/>
  <c r="E22" i="57"/>
  <c r="M20" i="57"/>
  <c r="L20" i="57"/>
  <c r="N20" i="57" s="1"/>
  <c r="J20" i="57"/>
  <c r="F19" i="57"/>
  <c r="J19" i="57" s="1"/>
  <c r="P19" i="57" s="1"/>
  <c r="F18" i="57"/>
  <c r="E18" i="57"/>
  <c r="F16" i="57"/>
  <c r="E16" i="57"/>
  <c r="G16" i="57" s="1"/>
  <c r="M14" i="57"/>
  <c r="L14" i="57"/>
  <c r="N14" i="57" s="1"/>
  <c r="G49" i="57" s="1"/>
  <c r="J14" i="57"/>
  <c r="E14" i="57"/>
  <c r="G14" i="57" s="1"/>
  <c r="M12" i="57"/>
  <c r="K12" i="57"/>
  <c r="J12" i="57"/>
  <c r="E12" i="57"/>
  <c r="G12" i="57" s="1"/>
  <c r="M10" i="57"/>
  <c r="J10" i="57"/>
  <c r="E10" i="57"/>
  <c r="L10" i="57" s="1"/>
  <c r="N10" i="57" s="1"/>
  <c r="G47" i="57" s="1"/>
  <c r="J8" i="57"/>
  <c r="D38" i="57" s="1"/>
  <c r="C60" i="55" s="1"/>
  <c r="G8" i="57"/>
  <c r="F8" i="57"/>
  <c r="E8" i="57"/>
  <c r="D21" i="56"/>
  <c r="D20" i="56"/>
  <c r="E16" i="56"/>
  <c r="E11" i="56"/>
  <c r="E10" i="56"/>
  <c r="B91" i="55"/>
  <c r="C72" i="55"/>
  <c r="B72" i="55"/>
  <c r="C71" i="55"/>
  <c r="B71" i="55"/>
  <c r="C70" i="55"/>
  <c r="B70" i="55"/>
  <c r="C69" i="55"/>
  <c r="B69" i="55"/>
  <c r="B64" i="55"/>
  <c r="F63" i="55"/>
  <c r="D63" i="55"/>
  <c r="B63" i="55"/>
  <c r="F62" i="55"/>
  <c r="D62" i="55"/>
  <c r="B62" i="55"/>
  <c r="B61" i="55"/>
  <c r="D60" i="55"/>
  <c r="D69" i="55" s="1"/>
  <c r="E69" i="55" s="1"/>
  <c r="B60" i="55"/>
  <c r="C53" i="55"/>
  <c r="D53" i="55" s="1"/>
  <c r="C52" i="55"/>
  <c r="D52" i="55" s="1"/>
  <c r="C51" i="55"/>
  <c r="D51" i="55" s="1"/>
  <c r="C50" i="55"/>
  <c r="D50" i="55" s="1"/>
  <c r="C49" i="55"/>
  <c r="D49" i="55" s="1"/>
  <c r="C48" i="55"/>
  <c r="D48" i="55" s="1"/>
  <c r="C47" i="55"/>
  <c r="D47" i="55" s="1"/>
  <c r="C46" i="55"/>
  <c r="C54" i="55" s="1"/>
  <c r="C45" i="55"/>
  <c r="D45" i="55" s="1"/>
  <c r="E30" i="55"/>
  <c r="D30" i="55"/>
  <c r="E29" i="55"/>
  <c r="D29" i="55"/>
  <c r="E28" i="55"/>
  <c r="D28" i="55"/>
  <c r="D24" i="55"/>
  <c r="D23" i="55"/>
  <c r="D22" i="55"/>
  <c r="D21" i="55"/>
  <c r="G870" i="54"/>
  <c r="H869" i="54"/>
  <c r="H868" i="54"/>
  <c r="H867" i="54"/>
  <c r="H866" i="54"/>
  <c r="H865" i="54"/>
  <c r="H864" i="54"/>
  <c r="H863" i="54"/>
  <c r="H862" i="54"/>
  <c r="H861" i="54"/>
  <c r="H860" i="54"/>
  <c r="H859" i="54"/>
  <c r="H858" i="54"/>
  <c r="H857" i="54"/>
  <c r="H856" i="54"/>
  <c r="H855" i="54"/>
  <c r="H854" i="54"/>
  <c r="H853" i="54"/>
  <c r="H852" i="54"/>
  <c r="H851" i="54"/>
  <c r="H850" i="54"/>
  <c r="H849" i="54"/>
  <c r="H848" i="54"/>
  <c r="H847" i="54"/>
  <c r="H846" i="54"/>
  <c r="H845" i="54"/>
  <c r="H844" i="54"/>
  <c r="H843" i="54"/>
  <c r="H842" i="54"/>
  <c r="H841" i="54"/>
  <c r="H840" i="54"/>
  <c r="H839" i="54"/>
  <c r="H838" i="54"/>
  <c r="H837" i="54"/>
  <c r="H836" i="54"/>
  <c r="H835" i="54"/>
  <c r="H834" i="54"/>
  <c r="H833" i="54"/>
  <c r="H832" i="54"/>
  <c r="H831" i="54"/>
  <c r="H830" i="54"/>
  <c r="H829" i="54"/>
  <c r="H828" i="54"/>
  <c r="H827" i="54"/>
  <c r="H826" i="54"/>
  <c r="H825" i="54"/>
  <c r="H824" i="54"/>
  <c r="H823" i="54"/>
  <c r="H822" i="54"/>
  <c r="H821" i="54"/>
  <c r="H820" i="54"/>
  <c r="H819" i="54"/>
  <c r="H818" i="54"/>
  <c r="H817" i="54"/>
  <c r="H816" i="54"/>
  <c r="H815" i="54"/>
  <c r="H814" i="54"/>
  <c r="H813" i="54"/>
  <c r="H812" i="54"/>
  <c r="H811" i="54"/>
  <c r="H810" i="54"/>
  <c r="H809" i="54"/>
  <c r="H808" i="54"/>
  <c r="H807" i="54"/>
  <c r="H806" i="54"/>
  <c r="H805" i="54"/>
  <c r="H804" i="54"/>
  <c r="H803" i="54"/>
  <c r="H802" i="54"/>
  <c r="H801" i="54"/>
  <c r="H800" i="54"/>
  <c r="H799" i="54"/>
  <c r="H798" i="54"/>
  <c r="H797" i="54"/>
  <c r="H796" i="54"/>
  <c r="H795" i="54"/>
  <c r="H794" i="54"/>
  <c r="H793" i="54"/>
  <c r="H792" i="54"/>
  <c r="H791" i="54"/>
  <c r="H790" i="54"/>
  <c r="H789" i="54"/>
  <c r="H788" i="54"/>
  <c r="H787" i="54"/>
  <c r="H786" i="54"/>
  <c r="H785" i="54"/>
  <c r="H784" i="54"/>
  <c r="H783" i="54"/>
  <c r="H782" i="54"/>
  <c r="H781" i="54"/>
  <c r="H780" i="54"/>
  <c r="H779" i="54"/>
  <c r="H778" i="54"/>
  <c r="H777" i="54"/>
  <c r="H776" i="54"/>
  <c r="H775" i="54"/>
  <c r="H774" i="54"/>
  <c r="H773" i="54"/>
  <c r="H772" i="54"/>
  <c r="H771" i="54"/>
  <c r="H770" i="54"/>
  <c r="H769" i="54"/>
  <c r="H768" i="54"/>
  <c r="H767" i="54"/>
  <c r="H766" i="54"/>
  <c r="H765" i="54"/>
  <c r="H764" i="54"/>
  <c r="H763" i="54"/>
  <c r="H762" i="54"/>
  <c r="H761" i="54"/>
  <c r="H760" i="54"/>
  <c r="H759" i="54"/>
  <c r="H758" i="54"/>
  <c r="H757" i="54"/>
  <c r="H756" i="54"/>
  <c r="H755" i="54"/>
  <c r="H754" i="54"/>
  <c r="H753" i="54"/>
  <c r="H752" i="54"/>
  <c r="H751" i="54"/>
  <c r="H750" i="54"/>
  <c r="H749" i="54"/>
  <c r="H748" i="54"/>
  <c r="H747" i="54"/>
  <c r="H746" i="54"/>
  <c r="H745" i="54"/>
  <c r="H744" i="54"/>
  <c r="H743" i="54"/>
  <c r="H742" i="54"/>
  <c r="H741" i="54"/>
  <c r="H740" i="54"/>
  <c r="H739" i="54"/>
  <c r="H738" i="54"/>
  <c r="H737" i="54"/>
  <c r="H736" i="54"/>
  <c r="H735" i="54"/>
  <c r="H734" i="54"/>
  <c r="H733" i="54"/>
  <c r="H732" i="54"/>
  <c r="H731" i="54"/>
  <c r="H730" i="54"/>
  <c r="H729" i="54"/>
  <c r="H728" i="54"/>
  <c r="H727" i="54"/>
  <c r="H726" i="54"/>
  <c r="H725" i="54"/>
  <c r="H724" i="54"/>
  <c r="H723" i="54"/>
  <c r="H722" i="54"/>
  <c r="H721" i="54"/>
  <c r="H720" i="54"/>
  <c r="H719" i="54"/>
  <c r="H718" i="54"/>
  <c r="H717" i="54"/>
  <c r="H716" i="54"/>
  <c r="H715" i="54"/>
  <c r="H714" i="54"/>
  <c r="H713" i="54"/>
  <c r="H712" i="54"/>
  <c r="H711" i="54"/>
  <c r="H710" i="54"/>
  <c r="H709" i="54"/>
  <c r="H708" i="54"/>
  <c r="H707" i="54"/>
  <c r="H706" i="54"/>
  <c r="H705" i="54"/>
  <c r="H704" i="54"/>
  <c r="H703" i="54"/>
  <c r="H702" i="54"/>
  <c r="H701" i="54"/>
  <c r="H700" i="54"/>
  <c r="H699" i="54"/>
  <c r="H698" i="54"/>
  <c r="H697" i="54"/>
  <c r="H696" i="54"/>
  <c r="H695" i="54"/>
  <c r="H694" i="54"/>
  <c r="H693" i="54"/>
  <c r="H692" i="54"/>
  <c r="H691" i="54"/>
  <c r="H690" i="54"/>
  <c r="H689" i="54"/>
  <c r="H688" i="54"/>
  <c r="H687" i="54"/>
  <c r="H686" i="54"/>
  <c r="H685" i="54"/>
  <c r="H684" i="54"/>
  <c r="H683" i="54"/>
  <c r="H682" i="54"/>
  <c r="H681" i="54"/>
  <c r="H680" i="54"/>
  <c r="H679" i="54"/>
  <c r="H678" i="54"/>
  <c r="H677" i="54"/>
  <c r="H676" i="54"/>
  <c r="H675" i="54"/>
  <c r="H674" i="54"/>
  <c r="H673" i="54"/>
  <c r="H672" i="54"/>
  <c r="H671" i="54"/>
  <c r="H670" i="54"/>
  <c r="H669" i="54"/>
  <c r="H668" i="54"/>
  <c r="H667" i="54"/>
  <c r="H666" i="54"/>
  <c r="H665" i="54"/>
  <c r="H664" i="54"/>
  <c r="H663" i="54"/>
  <c r="H662" i="54"/>
  <c r="H661" i="54"/>
  <c r="H660" i="54"/>
  <c r="H659" i="54"/>
  <c r="H658" i="54"/>
  <c r="H657" i="54"/>
  <c r="H656" i="54"/>
  <c r="H655" i="54"/>
  <c r="H654" i="54"/>
  <c r="H653" i="54"/>
  <c r="H652" i="54"/>
  <c r="H651" i="54"/>
  <c r="H650" i="54"/>
  <c r="H649" i="54"/>
  <c r="H648" i="54"/>
  <c r="H647" i="54"/>
  <c r="H646" i="54"/>
  <c r="H645" i="54"/>
  <c r="H644" i="54"/>
  <c r="H643" i="54"/>
  <c r="H642" i="54"/>
  <c r="H641" i="54"/>
  <c r="H640" i="54"/>
  <c r="H639" i="54"/>
  <c r="H638" i="54"/>
  <c r="H637" i="54"/>
  <c r="H636" i="54"/>
  <c r="H635" i="54"/>
  <c r="H634" i="54"/>
  <c r="H633" i="54"/>
  <c r="H632" i="54"/>
  <c r="H631" i="54"/>
  <c r="H630" i="54"/>
  <c r="H629" i="54"/>
  <c r="H628" i="54"/>
  <c r="H627" i="54"/>
  <c r="H626" i="54"/>
  <c r="H625" i="54"/>
  <c r="H624" i="54"/>
  <c r="H623" i="54"/>
  <c r="H622" i="54"/>
  <c r="H621" i="54"/>
  <c r="H620" i="54"/>
  <c r="H619" i="54"/>
  <c r="H618" i="54"/>
  <c r="H617" i="54"/>
  <c r="H616" i="54"/>
  <c r="H615" i="54"/>
  <c r="H614" i="54"/>
  <c r="H613" i="54"/>
  <c r="H612" i="54"/>
  <c r="H611" i="54"/>
  <c r="H610" i="54"/>
  <c r="H609" i="54"/>
  <c r="H608" i="54"/>
  <c r="H607" i="54"/>
  <c r="H606" i="54"/>
  <c r="H605" i="54"/>
  <c r="H604" i="54"/>
  <c r="H603" i="54"/>
  <c r="H602" i="54"/>
  <c r="H601" i="54"/>
  <c r="H600" i="54"/>
  <c r="H599" i="54"/>
  <c r="H598" i="54"/>
  <c r="H597" i="54"/>
  <c r="H596" i="54"/>
  <c r="H595" i="54"/>
  <c r="H594" i="54"/>
  <c r="H593" i="54"/>
  <c r="H592" i="54"/>
  <c r="H591" i="54"/>
  <c r="H590" i="54"/>
  <c r="H589" i="54"/>
  <c r="H588" i="54"/>
  <c r="H587" i="54"/>
  <c r="H586" i="54"/>
  <c r="H585" i="54"/>
  <c r="H584" i="54"/>
  <c r="H583" i="54"/>
  <c r="H582" i="54"/>
  <c r="H581" i="54"/>
  <c r="H580" i="54"/>
  <c r="H579" i="54"/>
  <c r="H578" i="54"/>
  <c r="H577" i="54"/>
  <c r="H576" i="54"/>
  <c r="H575" i="54"/>
  <c r="H574" i="54"/>
  <c r="H573" i="54"/>
  <c r="H572" i="54"/>
  <c r="H571" i="54"/>
  <c r="H570" i="54"/>
  <c r="H569" i="54"/>
  <c r="H568" i="54"/>
  <c r="H567" i="54"/>
  <c r="H566" i="54"/>
  <c r="H565" i="54"/>
  <c r="H564" i="54"/>
  <c r="H563" i="54"/>
  <c r="H562" i="54"/>
  <c r="H561" i="54"/>
  <c r="H560" i="54"/>
  <c r="H559" i="54"/>
  <c r="H558" i="54"/>
  <c r="H557" i="54"/>
  <c r="H556" i="54"/>
  <c r="H555" i="54"/>
  <c r="H554" i="54"/>
  <c r="H553" i="54"/>
  <c r="H552" i="54"/>
  <c r="H551" i="54"/>
  <c r="H550" i="54"/>
  <c r="H549" i="54"/>
  <c r="H548" i="54"/>
  <c r="H547" i="54"/>
  <c r="H546" i="54"/>
  <c r="H545" i="54"/>
  <c r="H544" i="54"/>
  <c r="H543" i="54"/>
  <c r="H542" i="54"/>
  <c r="H541" i="54"/>
  <c r="H540" i="54"/>
  <c r="H539" i="54"/>
  <c r="H538" i="54"/>
  <c r="H537" i="54"/>
  <c r="H536" i="54"/>
  <c r="H535" i="54"/>
  <c r="H534" i="54"/>
  <c r="H533" i="54"/>
  <c r="H532" i="54"/>
  <c r="H531" i="54"/>
  <c r="H530" i="54"/>
  <c r="H529" i="54"/>
  <c r="H528" i="54"/>
  <c r="H527" i="54"/>
  <c r="H526" i="54"/>
  <c r="H525" i="54"/>
  <c r="H524" i="54"/>
  <c r="H523" i="54"/>
  <c r="H522" i="54"/>
  <c r="H521" i="54"/>
  <c r="H520" i="54"/>
  <c r="H519" i="54"/>
  <c r="H518" i="54"/>
  <c r="H517" i="54"/>
  <c r="H516" i="54"/>
  <c r="H515" i="54"/>
  <c r="H514" i="54"/>
  <c r="H513" i="54"/>
  <c r="H512" i="54"/>
  <c r="H511" i="54"/>
  <c r="H510" i="54"/>
  <c r="H509" i="54"/>
  <c r="H508" i="54"/>
  <c r="H507" i="54"/>
  <c r="H506" i="54"/>
  <c r="H505" i="54"/>
  <c r="H504" i="54"/>
  <c r="H503" i="54"/>
  <c r="H502" i="54"/>
  <c r="H501" i="54"/>
  <c r="H500" i="54"/>
  <c r="H499" i="54"/>
  <c r="H498" i="54"/>
  <c r="H497" i="54"/>
  <c r="H496" i="54"/>
  <c r="H495" i="54"/>
  <c r="H494" i="54"/>
  <c r="H493" i="54"/>
  <c r="H492" i="54"/>
  <c r="H491" i="54"/>
  <c r="H490" i="54"/>
  <c r="H489" i="54"/>
  <c r="H488" i="54"/>
  <c r="H487" i="54"/>
  <c r="H486" i="54"/>
  <c r="H485" i="54"/>
  <c r="H484" i="54"/>
  <c r="H483" i="54"/>
  <c r="H482" i="54"/>
  <c r="H481" i="54"/>
  <c r="H480" i="54"/>
  <c r="H479" i="54"/>
  <c r="H478" i="54"/>
  <c r="H477" i="54"/>
  <c r="H476" i="54"/>
  <c r="H475" i="54"/>
  <c r="H474" i="54"/>
  <c r="H473" i="54"/>
  <c r="H472" i="54"/>
  <c r="H471" i="54"/>
  <c r="H470" i="54"/>
  <c r="H469" i="54"/>
  <c r="H468" i="54"/>
  <c r="H467" i="54"/>
  <c r="H466" i="54"/>
  <c r="H465" i="54"/>
  <c r="H464" i="54"/>
  <c r="H463" i="54"/>
  <c r="H462" i="54"/>
  <c r="H461" i="54"/>
  <c r="H460" i="54"/>
  <c r="H459" i="54"/>
  <c r="H458" i="54"/>
  <c r="H457" i="54"/>
  <c r="H456" i="54"/>
  <c r="H455" i="54"/>
  <c r="H454" i="54"/>
  <c r="H453" i="54"/>
  <c r="H452" i="54"/>
  <c r="H451" i="54"/>
  <c r="H450" i="54"/>
  <c r="H449" i="54"/>
  <c r="H448" i="54"/>
  <c r="H447" i="54"/>
  <c r="H446" i="54"/>
  <c r="H445" i="54"/>
  <c r="H444" i="54"/>
  <c r="H443" i="54"/>
  <c r="H442" i="54"/>
  <c r="H441" i="54"/>
  <c r="H440" i="54"/>
  <c r="H439" i="54"/>
  <c r="H438" i="54"/>
  <c r="H437" i="54"/>
  <c r="H436" i="54"/>
  <c r="H435" i="54"/>
  <c r="H434" i="54"/>
  <c r="H433" i="54"/>
  <c r="H432" i="54"/>
  <c r="H431" i="54"/>
  <c r="H430" i="54"/>
  <c r="H429" i="54"/>
  <c r="H428" i="54"/>
  <c r="H427" i="54"/>
  <c r="H426" i="54"/>
  <c r="H425" i="54"/>
  <c r="H424" i="54"/>
  <c r="H423" i="54"/>
  <c r="H422" i="54"/>
  <c r="H421" i="54"/>
  <c r="H420" i="54"/>
  <c r="H419" i="54"/>
  <c r="H418" i="54"/>
  <c r="H417" i="54"/>
  <c r="H416" i="54"/>
  <c r="H415" i="54"/>
  <c r="H414" i="54"/>
  <c r="H413" i="54"/>
  <c r="H412" i="54"/>
  <c r="H411" i="54"/>
  <c r="H410" i="54"/>
  <c r="H409" i="54"/>
  <c r="H408" i="54"/>
  <c r="H407" i="54"/>
  <c r="H406" i="54"/>
  <c r="H405" i="54"/>
  <c r="H404" i="54"/>
  <c r="H403" i="54"/>
  <c r="H402" i="54"/>
  <c r="H401" i="54"/>
  <c r="H400" i="54"/>
  <c r="H399" i="54"/>
  <c r="H398" i="54"/>
  <c r="H397" i="54"/>
  <c r="H396" i="54"/>
  <c r="H395" i="54"/>
  <c r="H394" i="54"/>
  <c r="H393" i="54"/>
  <c r="H392" i="54"/>
  <c r="H391" i="54"/>
  <c r="H390" i="54"/>
  <c r="H389" i="54"/>
  <c r="H388" i="54"/>
  <c r="H387" i="54"/>
  <c r="H386" i="54"/>
  <c r="H385" i="54"/>
  <c r="H384" i="54"/>
  <c r="H383" i="54"/>
  <c r="H382" i="54"/>
  <c r="H381" i="54"/>
  <c r="H380" i="54"/>
  <c r="H379" i="54"/>
  <c r="H378" i="54"/>
  <c r="H377" i="54"/>
  <c r="H376" i="54"/>
  <c r="H375" i="54"/>
  <c r="H374" i="54"/>
  <c r="H373" i="54"/>
  <c r="H372" i="54"/>
  <c r="H371" i="54"/>
  <c r="H370" i="54"/>
  <c r="H369" i="54"/>
  <c r="H368" i="54"/>
  <c r="H367" i="54"/>
  <c r="H366" i="54"/>
  <c r="H365" i="54"/>
  <c r="H364" i="54"/>
  <c r="H363" i="54"/>
  <c r="H362" i="54"/>
  <c r="H361" i="54"/>
  <c r="H360" i="54"/>
  <c r="H359" i="54"/>
  <c r="H358" i="54"/>
  <c r="H357" i="54"/>
  <c r="H356" i="54"/>
  <c r="H355" i="54"/>
  <c r="H354" i="54"/>
  <c r="H353" i="54"/>
  <c r="H352" i="54"/>
  <c r="H351" i="54"/>
  <c r="H350" i="54"/>
  <c r="H349" i="54"/>
  <c r="H348" i="54"/>
  <c r="H347" i="54"/>
  <c r="H346" i="54"/>
  <c r="H345" i="54"/>
  <c r="H344" i="54"/>
  <c r="H343" i="54"/>
  <c r="H342" i="54"/>
  <c r="H341" i="54"/>
  <c r="H340" i="54"/>
  <c r="H339" i="54"/>
  <c r="H338" i="54"/>
  <c r="H337" i="54"/>
  <c r="H336" i="54"/>
  <c r="H335" i="54"/>
  <c r="H334" i="54"/>
  <c r="H333" i="54"/>
  <c r="H332" i="54"/>
  <c r="H331" i="54"/>
  <c r="H330" i="54"/>
  <c r="H329" i="54"/>
  <c r="H328" i="54"/>
  <c r="H327" i="54"/>
  <c r="H326" i="54"/>
  <c r="H325" i="54"/>
  <c r="H324" i="54"/>
  <c r="H323" i="54"/>
  <c r="H322" i="54"/>
  <c r="H321" i="54"/>
  <c r="H320" i="54"/>
  <c r="H319" i="54"/>
  <c r="H318" i="54"/>
  <c r="H317" i="54"/>
  <c r="H316" i="54"/>
  <c r="H315" i="54"/>
  <c r="H314" i="54"/>
  <c r="H313" i="54"/>
  <c r="H312" i="54"/>
  <c r="H311" i="54"/>
  <c r="H310" i="54"/>
  <c r="H309" i="54"/>
  <c r="H308" i="54"/>
  <c r="H307" i="54"/>
  <c r="H306" i="54"/>
  <c r="H305" i="54"/>
  <c r="H304" i="54"/>
  <c r="H303" i="54"/>
  <c r="H302" i="54"/>
  <c r="H301" i="54"/>
  <c r="H300" i="54"/>
  <c r="H299" i="54"/>
  <c r="H298" i="54"/>
  <c r="H297" i="54"/>
  <c r="H296" i="54"/>
  <c r="H295" i="54"/>
  <c r="H294" i="54"/>
  <c r="H293" i="54"/>
  <c r="H292" i="54"/>
  <c r="H291" i="54"/>
  <c r="H290" i="54"/>
  <c r="H289" i="54"/>
  <c r="H288" i="54"/>
  <c r="H287" i="54"/>
  <c r="H286" i="54"/>
  <c r="H285" i="54"/>
  <c r="H284" i="54"/>
  <c r="H283" i="54"/>
  <c r="H282" i="54"/>
  <c r="H281" i="54"/>
  <c r="H280" i="54"/>
  <c r="H279" i="54"/>
  <c r="H278" i="54"/>
  <c r="H277" i="54"/>
  <c r="H276" i="54"/>
  <c r="H275" i="54"/>
  <c r="H274" i="54"/>
  <c r="H273" i="54"/>
  <c r="H272" i="54"/>
  <c r="H271" i="54"/>
  <c r="H270" i="54"/>
  <c r="H269" i="54"/>
  <c r="H268" i="54"/>
  <c r="H267" i="54"/>
  <c r="H266" i="54"/>
  <c r="H265" i="54"/>
  <c r="H264" i="54"/>
  <c r="H263" i="54"/>
  <c r="H262" i="54"/>
  <c r="H261" i="54"/>
  <c r="H260" i="54"/>
  <c r="H259" i="54"/>
  <c r="H258" i="54"/>
  <c r="H257" i="54"/>
  <c r="H256" i="54"/>
  <c r="H255" i="54"/>
  <c r="H254" i="54"/>
  <c r="H253" i="54"/>
  <c r="H252" i="54"/>
  <c r="H251" i="54"/>
  <c r="H250" i="54"/>
  <c r="H249" i="54"/>
  <c r="H248" i="54"/>
  <c r="H247" i="54"/>
  <c r="H246" i="54"/>
  <c r="H245" i="54"/>
  <c r="H244" i="54"/>
  <c r="H243" i="54"/>
  <c r="H242" i="54"/>
  <c r="H241" i="54"/>
  <c r="H240" i="54"/>
  <c r="H239" i="54"/>
  <c r="H238" i="54"/>
  <c r="H237" i="54"/>
  <c r="H236" i="54"/>
  <c r="H235" i="54"/>
  <c r="H234" i="54"/>
  <c r="H233" i="54"/>
  <c r="H232" i="54"/>
  <c r="H231" i="54"/>
  <c r="H230" i="54"/>
  <c r="H229" i="54"/>
  <c r="H228" i="54"/>
  <c r="H227" i="54"/>
  <c r="H226" i="54"/>
  <c r="H225" i="54"/>
  <c r="H224" i="54"/>
  <c r="H223" i="54"/>
  <c r="H222" i="54"/>
  <c r="H221" i="54"/>
  <c r="H220" i="54"/>
  <c r="H219" i="54"/>
  <c r="H218" i="54"/>
  <c r="H217" i="54"/>
  <c r="H216" i="54"/>
  <c r="H215" i="54"/>
  <c r="H214" i="54"/>
  <c r="H213" i="54"/>
  <c r="H212" i="54"/>
  <c r="H211" i="54"/>
  <c r="H210" i="54"/>
  <c r="H209" i="54"/>
  <c r="H208" i="54"/>
  <c r="H207" i="54"/>
  <c r="H206" i="54"/>
  <c r="H205" i="54"/>
  <c r="H204" i="54"/>
  <c r="H203" i="54"/>
  <c r="H202" i="54"/>
  <c r="H201" i="54"/>
  <c r="H200" i="54"/>
  <c r="H199" i="54"/>
  <c r="H198" i="54"/>
  <c r="H197" i="54"/>
  <c r="H196" i="54"/>
  <c r="H195" i="54"/>
  <c r="H194" i="54"/>
  <c r="H193" i="54"/>
  <c r="H192" i="54"/>
  <c r="H191" i="54"/>
  <c r="H190" i="54"/>
  <c r="H189" i="54"/>
  <c r="H188" i="54"/>
  <c r="H187" i="54"/>
  <c r="H186" i="54"/>
  <c r="H185" i="54"/>
  <c r="H184" i="54"/>
  <c r="H183" i="54"/>
  <c r="H182" i="54"/>
  <c r="H181" i="54"/>
  <c r="H180" i="54"/>
  <c r="H179" i="54"/>
  <c r="H178" i="54"/>
  <c r="H177" i="54"/>
  <c r="H176" i="54"/>
  <c r="H175" i="54"/>
  <c r="H174" i="54"/>
  <c r="H173" i="54"/>
  <c r="H172" i="54"/>
  <c r="H171" i="54"/>
  <c r="H170" i="54"/>
  <c r="H169" i="54"/>
  <c r="H168" i="54"/>
  <c r="H167" i="54"/>
  <c r="H166" i="54"/>
  <c r="H165" i="54"/>
  <c r="H164" i="54"/>
  <c r="H163" i="54"/>
  <c r="H162" i="54"/>
  <c r="H161" i="54"/>
  <c r="H160" i="54"/>
  <c r="H159" i="54"/>
  <c r="H158" i="54"/>
  <c r="H157" i="54"/>
  <c r="H156" i="54"/>
  <c r="H155" i="54"/>
  <c r="H154" i="54"/>
  <c r="H153" i="54"/>
  <c r="H152" i="54"/>
  <c r="H151" i="54"/>
  <c r="H150" i="54"/>
  <c r="H149" i="54"/>
  <c r="H148" i="54"/>
  <c r="H147" i="54"/>
  <c r="H146" i="54"/>
  <c r="H145" i="54"/>
  <c r="H144" i="54"/>
  <c r="H143" i="54"/>
  <c r="H142" i="54"/>
  <c r="H141" i="54"/>
  <c r="H140" i="54"/>
  <c r="H139" i="54"/>
  <c r="H138" i="54"/>
  <c r="H137" i="54"/>
  <c r="H136" i="54"/>
  <c r="H135" i="54"/>
  <c r="H134" i="54"/>
  <c r="H133" i="54"/>
  <c r="H132" i="54"/>
  <c r="H131" i="54"/>
  <c r="H130" i="54"/>
  <c r="H129" i="54"/>
  <c r="H128" i="54"/>
  <c r="H127" i="54"/>
  <c r="H126" i="54"/>
  <c r="H125" i="54"/>
  <c r="H124" i="54"/>
  <c r="H123" i="54"/>
  <c r="H122" i="54"/>
  <c r="H121" i="54"/>
  <c r="H120" i="54"/>
  <c r="H119" i="54"/>
  <c r="H118" i="54"/>
  <c r="H117" i="54"/>
  <c r="H116" i="54"/>
  <c r="H115" i="54"/>
  <c r="H114" i="54"/>
  <c r="H113" i="54"/>
  <c r="H112" i="54"/>
  <c r="H111" i="54"/>
  <c r="H110" i="54"/>
  <c r="H109" i="54"/>
  <c r="H108" i="54"/>
  <c r="H107" i="54"/>
  <c r="H106" i="54"/>
  <c r="H105" i="54"/>
  <c r="H104" i="54"/>
  <c r="H103" i="54"/>
  <c r="H102" i="54"/>
  <c r="H101" i="54"/>
  <c r="H100" i="54"/>
  <c r="H99" i="54"/>
  <c r="H98" i="54"/>
  <c r="H97" i="54"/>
  <c r="H96" i="54"/>
  <c r="H95" i="54"/>
  <c r="H94" i="54"/>
  <c r="H93" i="54"/>
  <c r="H92" i="54"/>
  <c r="H91" i="54"/>
  <c r="H90" i="54"/>
  <c r="H89" i="54"/>
  <c r="H88" i="54"/>
  <c r="H87" i="54"/>
  <c r="H86" i="54"/>
  <c r="H85" i="54"/>
  <c r="H84" i="54"/>
  <c r="H83" i="54"/>
  <c r="H82" i="54"/>
  <c r="H81" i="54"/>
  <c r="H80" i="54"/>
  <c r="H79" i="54"/>
  <c r="H78" i="54"/>
  <c r="H77" i="54"/>
  <c r="H76" i="54"/>
  <c r="H75" i="54"/>
  <c r="H74" i="54"/>
  <c r="H73" i="54"/>
  <c r="H72" i="54"/>
  <c r="H71" i="54"/>
  <c r="H70" i="54"/>
  <c r="H69" i="54"/>
  <c r="H68" i="54"/>
  <c r="H67" i="54"/>
  <c r="H66" i="54"/>
  <c r="H65" i="54"/>
  <c r="H64" i="54"/>
  <c r="H63" i="54"/>
  <c r="H62" i="54"/>
  <c r="H61" i="54"/>
  <c r="H60" i="54"/>
  <c r="H59" i="54"/>
  <c r="H58" i="54"/>
  <c r="H57" i="54"/>
  <c r="H56" i="54"/>
  <c r="H55" i="54"/>
  <c r="H54" i="54"/>
  <c r="H53" i="54"/>
  <c r="H52" i="54"/>
  <c r="H51" i="54"/>
  <c r="H50" i="54"/>
  <c r="H49" i="54"/>
  <c r="H48" i="54"/>
  <c r="H47" i="54"/>
  <c r="H46" i="54"/>
  <c r="H45" i="54"/>
  <c r="H44" i="54"/>
  <c r="H43" i="54"/>
  <c r="H42" i="54"/>
  <c r="H41" i="54"/>
  <c r="H40" i="54"/>
  <c r="H39" i="54"/>
  <c r="H38" i="54"/>
  <c r="H37" i="54"/>
  <c r="H36" i="54"/>
  <c r="H35" i="54"/>
  <c r="H34" i="54"/>
  <c r="H33" i="54"/>
  <c r="H32" i="54"/>
  <c r="H31" i="54"/>
  <c r="H30" i="54"/>
  <c r="H29" i="54"/>
  <c r="H28" i="54"/>
  <c r="H27" i="54"/>
  <c r="H26" i="54"/>
  <c r="H25" i="54"/>
  <c r="H24" i="54"/>
  <c r="H23" i="54"/>
  <c r="H22" i="54"/>
  <c r="H21" i="54"/>
  <c r="H20" i="54"/>
  <c r="H19" i="54"/>
  <c r="H18" i="54"/>
  <c r="H17" i="54"/>
  <c r="H16" i="54"/>
  <c r="H15" i="54"/>
  <c r="H14" i="54"/>
  <c r="H13" i="54"/>
  <c r="H12" i="54"/>
  <c r="H11" i="54"/>
  <c r="H10" i="54"/>
  <c r="H9" i="54"/>
  <c r="H8" i="54"/>
  <c r="H7" i="54"/>
  <c r="P28" i="57" l="1"/>
  <c r="Q28" i="57"/>
  <c r="J22" i="57"/>
  <c r="K22" i="57" s="1"/>
  <c r="J34" i="57"/>
  <c r="F58" i="57" s="1"/>
  <c r="G10" i="57"/>
  <c r="L16" i="57"/>
  <c r="N16" i="57" s="1"/>
  <c r="G50" i="57" s="1"/>
  <c r="F32" i="57"/>
  <c r="L19" i="57"/>
  <c r="G22" i="57"/>
  <c r="L22" i="57" s="1"/>
  <c r="N22" i="57" s="1"/>
  <c r="B88" i="55"/>
  <c r="J29" i="57"/>
  <c r="F55" i="57" s="1"/>
  <c r="F27" i="57"/>
  <c r="G27" i="57" s="1"/>
  <c r="D54" i="55"/>
  <c r="F53" i="57"/>
  <c r="M25" i="57"/>
  <c r="L18" i="57"/>
  <c r="N19" i="57"/>
  <c r="Q33" i="57"/>
  <c r="O33" i="57"/>
  <c r="R33" i="57"/>
  <c r="P33" i="57"/>
  <c r="J32" i="57"/>
  <c r="K32" i="57" s="1"/>
  <c r="L34" i="57"/>
  <c r="G58" i="57"/>
  <c r="D46" i="55"/>
  <c r="P8" i="58"/>
  <c r="K8" i="57"/>
  <c r="L12" i="57"/>
  <c r="N12" i="57" s="1"/>
  <c r="G48" i="57" s="1"/>
  <c r="G18" i="57"/>
  <c r="R28" i="57"/>
  <c r="J30" i="57"/>
  <c r="D41" i="57" s="1"/>
  <c r="T18" i="59"/>
  <c r="S18" i="59"/>
  <c r="J17" i="59"/>
  <c r="K17" i="59" s="1"/>
  <c r="R18" i="59"/>
  <c r="Q18" i="59"/>
  <c r="M29" i="59"/>
  <c r="G58" i="59" s="1"/>
  <c r="F58" i="59"/>
  <c r="J16" i="57"/>
  <c r="J18" i="57"/>
  <c r="K18" i="57" s="1"/>
  <c r="Q19" i="57"/>
  <c r="O28" i="57"/>
  <c r="F40" i="57"/>
  <c r="P10" i="58" s="1"/>
  <c r="K14" i="57"/>
  <c r="R19" i="57"/>
  <c r="G32" i="57"/>
  <c r="Q32" i="59"/>
  <c r="T32" i="59"/>
  <c r="S32" i="59"/>
  <c r="R32" i="59"/>
  <c r="C8" i="58"/>
  <c r="D40" i="57"/>
  <c r="F47" i="57"/>
  <c r="O19" i="57"/>
  <c r="G59" i="57"/>
  <c r="L35" i="57"/>
  <c r="S22" i="59"/>
  <c r="R22" i="59"/>
  <c r="Q22" i="59"/>
  <c r="T22" i="59"/>
  <c r="J21" i="59"/>
  <c r="K21" i="59" s="1"/>
  <c r="S27" i="59"/>
  <c r="R27" i="59"/>
  <c r="Q27" i="59"/>
  <c r="T27" i="59"/>
  <c r="F61" i="59"/>
  <c r="M34" i="59"/>
  <c r="G61" i="59" s="1"/>
  <c r="K10" i="57"/>
  <c r="D40" i="59"/>
  <c r="F55" i="59"/>
  <c r="M24" i="59"/>
  <c r="L9" i="59"/>
  <c r="N9" i="59" s="1"/>
  <c r="G46" i="59" s="1"/>
  <c r="G11" i="59"/>
  <c r="J15" i="59"/>
  <c r="M23" i="59"/>
  <c r="F31" i="59"/>
  <c r="G31" i="59" s="1"/>
  <c r="L31" i="59" s="1"/>
  <c r="N31" i="59" s="1"/>
  <c r="P31" i="59" s="1"/>
  <c r="F47" i="59"/>
  <c r="F49" i="59"/>
  <c r="E8" i="58"/>
  <c r="G17" i="59"/>
  <c r="F28" i="59"/>
  <c r="D37" i="59"/>
  <c r="L13" i="59"/>
  <c r="N13" i="59" s="1"/>
  <c r="G48" i="59" s="1"/>
  <c r="L15" i="59"/>
  <c r="N15" i="59" s="1"/>
  <c r="P15" i="59" s="1"/>
  <c r="F33" i="59"/>
  <c r="H870" i="54"/>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11" i="35"/>
  <c r="Z46" i="49"/>
  <c r="Z45" i="49"/>
  <c r="Z44" i="49"/>
  <c r="I46" i="49"/>
  <c r="I45" i="49"/>
  <c r="C28" i="45"/>
  <c r="I44" i="49"/>
  <c r="D17" i="45"/>
  <c r="D8" i="45"/>
  <c r="D9" i="45"/>
  <c r="D10" i="45"/>
  <c r="D11" i="45"/>
  <c r="D12" i="45"/>
  <c r="D7" i="45"/>
  <c r="C7" i="50"/>
  <c r="C9" i="50"/>
  <c r="D9" i="50"/>
  <c r="C8" i="50"/>
  <c r="D8" i="50"/>
  <c r="D7" i="50"/>
  <c r="G53" i="49"/>
  <c r="AC22" i="49"/>
  <c r="L53" i="49"/>
  <c r="N44" i="49"/>
  <c r="N45" i="49"/>
  <c r="N46" i="49"/>
  <c r="N47" i="49"/>
  <c r="E47" i="49"/>
  <c r="N49" i="49"/>
  <c r="W53" i="49"/>
  <c r="AD53" i="49"/>
  <c r="G57" i="49"/>
  <c r="L57" i="49"/>
  <c r="L32" i="49"/>
  <c r="Q57" i="49"/>
  <c r="AE44" i="49"/>
  <c r="AE45" i="49"/>
  <c r="AE46" i="49"/>
  <c r="AE47" i="49"/>
  <c r="V47" i="49"/>
  <c r="AE49" i="49"/>
  <c r="Y57" i="49"/>
  <c r="AD57" i="49"/>
  <c r="AB59" i="49"/>
  <c r="AC32" i="49"/>
  <c r="AC33" i="49"/>
  <c r="C16" i="22"/>
  <c r="C8" i="22"/>
  <c r="C9" i="22"/>
  <c r="C10" i="22"/>
  <c r="C11" i="22"/>
  <c r="C12" i="22"/>
  <c r="C13" i="22"/>
  <c r="C14" i="22"/>
  <c r="C15" i="22"/>
  <c r="C7" i="22"/>
  <c r="C16" i="47"/>
  <c r="E7" i="32"/>
  <c r="E8" i="32"/>
  <c r="E9" i="32"/>
  <c r="C8" i="16"/>
  <c r="D8" i="16"/>
  <c r="C16" i="16"/>
  <c r="C12" i="15"/>
  <c r="C7" i="16"/>
  <c r="D7" i="16"/>
  <c r="D7" i="22"/>
  <c r="D8" i="22"/>
  <c r="D9" i="22"/>
  <c r="D10" i="22"/>
  <c r="D11" i="22"/>
  <c r="D12" i="22"/>
  <c r="D13" i="22"/>
  <c r="D14" i="22"/>
  <c r="D15" i="22"/>
  <c r="D16" i="22"/>
  <c r="E38" i="33"/>
  <c r="D38" i="33"/>
  <c r="F38" i="33"/>
  <c r="D38" i="31"/>
  <c r="D37" i="33"/>
  <c r="F37" i="33"/>
  <c r="D36" i="33"/>
  <c r="F36" i="33"/>
  <c r="E35" i="33"/>
  <c r="F35" i="33"/>
  <c r="D35" i="31"/>
  <c r="D34" i="33"/>
  <c r="F34" i="33"/>
  <c r="D33" i="33"/>
  <c r="F33" i="33"/>
  <c r="E32" i="33"/>
  <c r="D32" i="33"/>
  <c r="F32" i="33"/>
  <c r="D32" i="31"/>
  <c r="D31" i="33"/>
  <c r="F31" i="33"/>
  <c r="D30" i="33"/>
  <c r="F30" i="33"/>
  <c r="E29" i="33"/>
  <c r="F29" i="33"/>
  <c r="D29" i="31"/>
  <c r="D28" i="33"/>
  <c r="F28" i="33"/>
  <c r="F27" i="33"/>
  <c r="E26" i="33"/>
  <c r="D26" i="33"/>
  <c r="F26" i="33"/>
  <c r="D26" i="31"/>
  <c r="D25" i="33"/>
  <c r="F25" i="33"/>
  <c r="D24" i="33"/>
  <c r="F24" i="33"/>
  <c r="E23" i="33"/>
  <c r="D23" i="33"/>
  <c r="F23" i="33"/>
  <c r="D23" i="31"/>
  <c r="D22" i="33"/>
  <c r="F22" i="33"/>
  <c r="F21" i="33"/>
  <c r="E20" i="33"/>
  <c r="D20" i="33"/>
  <c r="F20" i="33"/>
  <c r="D20" i="31"/>
  <c r="D19" i="33"/>
  <c r="F19" i="33"/>
  <c r="D18" i="33"/>
  <c r="F18" i="33"/>
  <c r="E17" i="33"/>
  <c r="F17" i="33"/>
  <c r="D17" i="31"/>
  <c r="D16" i="33"/>
  <c r="F16" i="33"/>
  <c r="F15" i="33"/>
  <c r="D8" i="33"/>
  <c r="F8" i="33"/>
  <c r="E17" i="5"/>
  <c r="E18" i="5"/>
  <c r="E21" i="5"/>
  <c r="E22" i="5"/>
  <c r="E23" i="5"/>
  <c r="E26" i="5"/>
  <c r="E27" i="5"/>
  <c r="E29" i="5"/>
  <c r="E11" i="5"/>
  <c r="D8" i="29"/>
  <c r="E10" i="5"/>
  <c r="E12" i="5"/>
  <c r="E33" i="5"/>
  <c r="E38" i="5"/>
  <c r="F9" i="33"/>
  <c r="F17" i="5"/>
  <c r="F18" i="5"/>
  <c r="F21" i="5"/>
  <c r="F22" i="5"/>
  <c r="F23" i="5"/>
  <c r="F26" i="5"/>
  <c r="F27" i="5"/>
  <c r="F29" i="5"/>
  <c r="F11" i="5"/>
  <c r="D9" i="29"/>
  <c r="F10" i="5"/>
  <c r="F12" i="5"/>
  <c r="F33" i="5"/>
  <c r="F38" i="5"/>
  <c r="D10" i="33"/>
  <c r="F10" i="33"/>
  <c r="G17" i="5"/>
  <c r="G18" i="5"/>
  <c r="D10" i="30"/>
  <c r="G21" i="5"/>
  <c r="C21" i="1"/>
  <c r="D10" i="24"/>
  <c r="G22" i="5"/>
  <c r="G23" i="5"/>
  <c r="G26" i="5"/>
  <c r="G27" i="5"/>
  <c r="G29" i="5"/>
  <c r="G11" i="5"/>
  <c r="G10" i="5"/>
  <c r="G12" i="5"/>
  <c r="G33" i="5"/>
  <c r="G38" i="5"/>
  <c r="E11" i="33"/>
  <c r="F11" i="33"/>
  <c r="H17" i="5"/>
  <c r="H18" i="5"/>
  <c r="H21" i="5"/>
  <c r="H22" i="5"/>
  <c r="H23" i="5"/>
  <c r="H26" i="5"/>
  <c r="H27" i="5"/>
  <c r="H29" i="5"/>
  <c r="D11" i="31"/>
  <c r="H11" i="5"/>
  <c r="H10" i="5"/>
  <c r="H12" i="5"/>
  <c r="H33" i="5"/>
  <c r="H38" i="5"/>
  <c r="D12" i="33"/>
  <c r="F12" i="33"/>
  <c r="I17" i="5"/>
  <c r="I18" i="5"/>
  <c r="I21" i="5"/>
  <c r="I22" i="5"/>
  <c r="I23" i="5"/>
  <c r="I26" i="5"/>
  <c r="I27" i="5"/>
  <c r="I29" i="5"/>
  <c r="I11" i="5"/>
  <c r="I10" i="5"/>
  <c r="I12" i="5"/>
  <c r="I33" i="5"/>
  <c r="I38" i="5"/>
  <c r="D13" i="33"/>
  <c r="F13" i="33"/>
  <c r="J17" i="5"/>
  <c r="J18" i="5"/>
  <c r="J21" i="5"/>
  <c r="J22" i="5"/>
  <c r="J23" i="5"/>
  <c r="J26" i="5"/>
  <c r="J27" i="5"/>
  <c r="J29" i="5"/>
  <c r="J11" i="5"/>
  <c r="J10" i="5"/>
  <c r="J12" i="5"/>
  <c r="J33" i="5"/>
  <c r="J38" i="5"/>
  <c r="E14" i="33"/>
  <c r="D14" i="33"/>
  <c r="F14" i="33"/>
  <c r="K17" i="5"/>
  <c r="K18" i="5"/>
  <c r="K21" i="5"/>
  <c r="K22" i="5"/>
  <c r="K23" i="5"/>
  <c r="K26" i="5"/>
  <c r="K27" i="5"/>
  <c r="K29" i="5"/>
  <c r="D14" i="31"/>
  <c r="K11" i="5"/>
  <c r="K10" i="5"/>
  <c r="K12" i="5"/>
  <c r="K33" i="5"/>
  <c r="K38" i="5"/>
  <c r="L17" i="5"/>
  <c r="L18" i="5"/>
  <c r="L21" i="5"/>
  <c r="L22" i="5"/>
  <c r="L23" i="5"/>
  <c r="L26" i="5"/>
  <c r="L27" i="5"/>
  <c r="L29" i="5"/>
  <c r="L11" i="5"/>
  <c r="L10" i="5"/>
  <c r="L12" i="5"/>
  <c r="L33" i="5"/>
  <c r="L38" i="5"/>
  <c r="M17" i="5"/>
  <c r="M18" i="5"/>
  <c r="M21" i="5"/>
  <c r="M22" i="5"/>
  <c r="M23" i="5"/>
  <c r="M26" i="5"/>
  <c r="M27" i="5"/>
  <c r="M29" i="5"/>
  <c r="M11" i="5"/>
  <c r="M10" i="5"/>
  <c r="M12" i="5"/>
  <c r="M33" i="5"/>
  <c r="M38" i="5"/>
  <c r="N17" i="5"/>
  <c r="N18" i="5"/>
  <c r="N21" i="5"/>
  <c r="N22" i="5"/>
  <c r="N23" i="5"/>
  <c r="N26" i="5"/>
  <c r="N27" i="5"/>
  <c r="N29" i="5"/>
  <c r="N11" i="5"/>
  <c r="N10" i="5"/>
  <c r="N12" i="5"/>
  <c r="N33" i="5"/>
  <c r="N38" i="5"/>
  <c r="O17" i="5"/>
  <c r="O18" i="5"/>
  <c r="O21" i="5"/>
  <c r="O22" i="5"/>
  <c r="O23" i="5"/>
  <c r="O26" i="5"/>
  <c r="O27" i="5"/>
  <c r="O29" i="5"/>
  <c r="O11" i="5"/>
  <c r="O10" i="5"/>
  <c r="O12" i="5"/>
  <c r="O33" i="5"/>
  <c r="O38" i="5"/>
  <c r="P17" i="5"/>
  <c r="P18" i="5"/>
  <c r="P21" i="5"/>
  <c r="P22" i="5"/>
  <c r="P23" i="5"/>
  <c r="P26" i="5"/>
  <c r="P27" i="5"/>
  <c r="P29" i="5"/>
  <c r="P11" i="5"/>
  <c r="P10" i="5"/>
  <c r="P12" i="5"/>
  <c r="P33" i="5"/>
  <c r="P38" i="5"/>
  <c r="Q17" i="5"/>
  <c r="Q18" i="5"/>
  <c r="Q21" i="5"/>
  <c r="Q22" i="5"/>
  <c r="Q23" i="5"/>
  <c r="Q26" i="5"/>
  <c r="Q27" i="5"/>
  <c r="Q29" i="5"/>
  <c r="Q11" i="5"/>
  <c r="Q10" i="5"/>
  <c r="Q12" i="5"/>
  <c r="Q33" i="5"/>
  <c r="Q38" i="5"/>
  <c r="R17" i="5"/>
  <c r="R18" i="5"/>
  <c r="R21" i="5"/>
  <c r="R22" i="5"/>
  <c r="R23" i="5"/>
  <c r="R26" i="5"/>
  <c r="R27" i="5"/>
  <c r="R29" i="5"/>
  <c r="R11" i="5"/>
  <c r="R10" i="5"/>
  <c r="R12" i="5"/>
  <c r="R33" i="5"/>
  <c r="R38" i="5"/>
  <c r="S17" i="5"/>
  <c r="S18" i="5"/>
  <c r="S21" i="5"/>
  <c r="S22" i="5"/>
  <c r="S23" i="5"/>
  <c r="S26" i="5"/>
  <c r="S27" i="5"/>
  <c r="S29" i="5"/>
  <c r="S11" i="5"/>
  <c r="S10" i="5"/>
  <c r="S12" i="5"/>
  <c r="S33" i="5"/>
  <c r="S38" i="5"/>
  <c r="T17" i="5"/>
  <c r="T18" i="5"/>
  <c r="T21" i="5"/>
  <c r="T22" i="5"/>
  <c r="T23" i="5"/>
  <c r="T26" i="5"/>
  <c r="T27" i="5"/>
  <c r="T29" i="5"/>
  <c r="T11" i="5"/>
  <c r="T10" i="5"/>
  <c r="T12" i="5"/>
  <c r="T33" i="5"/>
  <c r="T38" i="5"/>
  <c r="U17" i="5"/>
  <c r="U18" i="5"/>
  <c r="U21" i="5"/>
  <c r="U22" i="5"/>
  <c r="U23" i="5"/>
  <c r="U26" i="5"/>
  <c r="U27" i="5"/>
  <c r="U29" i="5"/>
  <c r="U11" i="5"/>
  <c r="U10" i="5"/>
  <c r="U12" i="5"/>
  <c r="U33" i="5"/>
  <c r="U38" i="5"/>
  <c r="V17" i="5"/>
  <c r="V18" i="5"/>
  <c r="V21" i="5"/>
  <c r="V22" i="5"/>
  <c r="V23" i="5"/>
  <c r="V26" i="5"/>
  <c r="V27" i="5"/>
  <c r="V29" i="5"/>
  <c r="V11" i="5"/>
  <c r="V10" i="5"/>
  <c r="V12" i="5"/>
  <c r="V33" i="5"/>
  <c r="V38" i="5"/>
  <c r="W17" i="5"/>
  <c r="W18" i="5"/>
  <c r="W21" i="5"/>
  <c r="W22" i="5"/>
  <c r="W23" i="5"/>
  <c r="W26" i="5"/>
  <c r="W27" i="5"/>
  <c r="W29" i="5"/>
  <c r="W11" i="5"/>
  <c r="W10" i="5"/>
  <c r="W12" i="5"/>
  <c r="W33" i="5"/>
  <c r="W38" i="5"/>
  <c r="X17" i="5"/>
  <c r="X18" i="5"/>
  <c r="X21" i="5"/>
  <c r="X22" i="5"/>
  <c r="X23" i="5"/>
  <c r="X26" i="5"/>
  <c r="X27" i="5"/>
  <c r="X29" i="5"/>
  <c r="X11" i="5"/>
  <c r="X10" i="5"/>
  <c r="X12" i="5"/>
  <c r="X33" i="5"/>
  <c r="X38" i="5"/>
  <c r="Y17" i="5"/>
  <c r="Y18" i="5"/>
  <c r="Y21" i="5"/>
  <c r="Y22" i="5"/>
  <c r="Y23" i="5"/>
  <c r="Y26" i="5"/>
  <c r="Y27" i="5"/>
  <c r="Y29" i="5"/>
  <c r="Y11" i="5"/>
  <c r="Y10" i="5"/>
  <c r="Y12" i="5"/>
  <c r="Y33" i="5"/>
  <c r="Y38" i="5"/>
  <c r="Z17" i="5"/>
  <c r="Z18" i="5"/>
  <c r="Z21" i="5"/>
  <c r="Z22" i="5"/>
  <c r="Z23" i="5"/>
  <c r="Z26" i="5"/>
  <c r="Z27" i="5"/>
  <c r="Z29" i="5"/>
  <c r="Z11" i="5"/>
  <c r="Z10" i="5"/>
  <c r="Z12" i="5"/>
  <c r="Z33" i="5"/>
  <c r="Z38" i="5"/>
  <c r="AA17" i="5"/>
  <c r="AA18" i="5"/>
  <c r="AA21" i="5"/>
  <c r="AA22" i="5"/>
  <c r="AA23" i="5"/>
  <c r="AA26" i="5"/>
  <c r="AA27" i="5"/>
  <c r="AA29" i="5"/>
  <c r="AA11" i="5"/>
  <c r="AA10" i="5"/>
  <c r="AA12" i="5"/>
  <c r="AA33" i="5"/>
  <c r="AA38" i="5"/>
  <c r="AB17" i="5"/>
  <c r="AB18" i="5"/>
  <c r="AB21" i="5"/>
  <c r="AB22" i="5"/>
  <c r="AB23" i="5"/>
  <c r="AB26" i="5"/>
  <c r="AB27" i="5"/>
  <c r="AB29" i="5"/>
  <c r="AB11" i="5"/>
  <c r="AB10" i="5"/>
  <c r="AB12" i="5"/>
  <c r="AB33" i="5"/>
  <c r="AB38" i="5"/>
  <c r="AC17" i="5"/>
  <c r="AC18" i="5"/>
  <c r="AC21" i="5"/>
  <c r="AC22" i="5"/>
  <c r="AC23" i="5"/>
  <c r="AC26" i="5"/>
  <c r="AC27" i="5"/>
  <c r="AC29" i="5"/>
  <c r="AC11" i="5"/>
  <c r="AC10" i="5"/>
  <c r="AC12" i="5"/>
  <c r="AC33" i="5"/>
  <c r="AC38" i="5"/>
  <c r="AD17" i="5"/>
  <c r="AD18" i="5"/>
  <c r="AD21" i="5"/>
  <c r="AD22" i="5"/>
  <c r="AD23" i="5"/>
  <c r="AD26" i="5"/>
  <c r="AD27" i="5"/>
  <c r="AD29" i="5"/>
  <c r="AD11" i="5"/>
  <c r="AD10" i="5"/>
  <c r="AD12" i="5"/>
  <c r="AD33" i="5"/>
  <c r="AD38" i="5"/>
  <c r="AE17" i="5"/>
  <c r="AE18" i="5"/>
  <c r="AE21" i="5"/>
  <c r="AE22" i="5"/>
  <c r="AE23" i="5"/>
  <c r="AE26" i="5"/>
  <c r="AE27" i="5"/>
  <c r="AE29" i="5"/>
  <c r="AE11" i="5"/>
  <c r="AE10" i="5"/>
  <c r="AE12" i="5"/>
  <c r="AE33" i="5"/>
  <c r="AE38" i="5"/>
  <c r="AF17" i="5"/>
  <c r="AF18" i="5"/>
  <c r="AF21" i="5"/>
  <c r="AF22" i="5"/>
  <c r="AF23" i="5"/>
  <c r="AF26" i="5"/>
  <c r="AF27" i="5"/>
  <c r="AF29" i="5"/>
  <c r="AF11" i="5"/>
  <c r="AF10" i="5"/>
  <c r="AF12" i="5"/>
  <c r="AF33" i="5"/>
  <c r="AF38" i="5"/>
  <c r="AG17" i="5"/>
  <c r="AG18" i="5"/>
  <c r="AG21" i="5"/>
  <c r="AG22" i="5"/>
  <c r="AG23" i="5"/>
  <c r="AG26" i="5"/>
  <c r="AG27" i="5"/>
  <c r="AG29" i="5"/>
  <c r="AG11" i="5"/>
  <c r="AG10" i="5"/>
  <c r="AG12" i="5"/>
  <c r="AG33" i="5"/>
  <c r="AG38" i="5"/>
  <c r="AH17" i="5"/>
  <c r="AH18" i="5"/>
  <c r="AH21" i="5"/>
  <c r="AH22" i="5"/>
  <c r="AH23" i="5"/>
  <c r="AH26" i="5"/>
  <c r="AH27" i="5"/>
  <c r="AH29" i="5"/>
  <c r="AH11" i="5"/>
  <c r="AH10" i="5"/>
  <c r="AH12" i="5"/>
  <c r="AH33" i="5"/>
  <c r="AH38" i="5"/>
  <c r="AI17" i="5"/>
  <c r="AI18" i="5"/>
  <c r="AI21" i="5"/>
  <c r="AI22" i="5"/>
  <c r="AI23" i="5"/>
  <c r="AI26" i="5"/>
  <c r="AI27" i="5"/>
  <c r="AI29" i="5"/>
  <c r="AI11" i="5"/>
  <c r="AI10" i="5"/>
  <c r="AI12" i="5"/>
  <c r="AI33" i="5"/>
  <c r="AI38" i="5"/>
  <c r="F7" i="33"/>
  <c r="D17" i="5"/>
  <c r="D18" i="5"/>
  <c r="D21" i="5"/>
  <c r="D22" i="5"/>
  <c r="D23" i="5"/>
  <c r="D26" i="5"/>
  <c r="D27" i="5"/>
  <c r="D29" i="5"/>
  <c r="D11" i="5"/>
  <c r="D7" i="29"/>
  <c r="D10" i="5"/>
  <c r="D12" i="5"/>
  <c r="D33" i="5"/>
  <c r="D38" i="5"/>
  <c r="C38" i="5"/>
  <c r="O37" i="5"/>
  <c r="P37" i="5"/>
  <c r="Q37" i="5"/>
  <c r="R37" i="5"/>
  <c r="S37" i="5"/>
  <c r="T37" i="5"/>
  <c r="U37" i="5"/>
  <c r="V37" i="5"/>
  <c r="W37" i="5"/>
  <c r="X37" i="5"/>
  <c r="Y37" i="5"/>
  <c r="Z37" i="5"/>
  <c r="AA37" i="5"/>
  <c r="AB37" i="5"/>
  <c r="AC37" i="5"/>
  <c r="AD37" i="5"/>
  <c r="AE37" i="5"/>
  <c r="AF37" i="5"/>
  <c r="AG37" i="5"/>
  <c r="AH37" i="5"/>
  <c r="AI37" i="5"/>
  <c r="I37" i="5"/>
  <c r="J37" i="5"/>
  <c r="K37" i="5"/>
  <c r="L37" i="5"/>
  <c r="M37" i="5"/>
  <c r="N37" i="5"/>
  <c r="F37" i="5"/>
  <c r="G37" i="5"/>
  <c r="H37" i="5"/>
  <c r="E37" i="5"/>
  <c r="D37" i="5"/>
  <c r="C37" i="5"/>
  <c r="C17" i="5"/>
  <c r="C18" i="5"/>
  <c r="C21" i="5"/>
  <c r="C22" i="5"/>
  <c r="C23" i="5"/>
  <c r="C26" i="5"/>
  <c r="C27" i="5"/>
  <c r="C29" i="5"/>
  <c r="C11" i="5"/>
  <c r="C10" i="5"/>
  <c r="C12" i="5"/>
  <c r="C33" i="5"/>
  <c r="G12" i="19"/>
  <c r="H12" i="19"/>
  <c r="I12" i="19"/>
  <c r="J12" i="19"/>
  <c r="G15" i="19"/>
  <c r="H15" i="19"/>
  <c r="I15" i="19"/>
  <c r="J15" i="19"/>
  <c r="G18" i="19"/>
  <c r="H18" i="19"/>
  <c r="I18" i="19"/>
  <c r="J18" i="19"/>
  <c r="G21" i="19"/>
  <c r="H21" i="19"/>
  <c r="I21" i="19"/>
  <c r="J21" i="19"/>
  <c r="G24" i="19"/>
  <c r="H24" i="19"/>
  <c r="I24" i="19"/>
  <c r="J24" i="19"/>
  <c r="G27" i="19"/>
  <c r="H27" i="19"/>
  <c r="I27" i="19"/>
  <c r="J27" i="19"/>
  <c r="G30" i="19"/>
  <c r="H30" i="19"/>
  <c r="I30" i="19"/>
  <c r="J30" i="19"/>
  <c r="G33" i="19"/>
  <c r="H33" i="19"/>
  <c r="I33" i="19"/>
  <c r="J33" i="19"/>
  <c r="G36" i="19"/>
  <c r="H36" i="19"/>
  <c r="I36" i="19"/>
  <c r="J36" i="19"/>
  <c r="G39" i="19"/>
  <c r="H39" i="19"/>
  <c r="I39" i="19"/>
  <c r="J39" i="19"/>
  <c r="G14" i="19"/>
  <c r="H14" i="19"/>
  <c r="I14" i="19"/>
  <c r="J14" i="19"/>
  <c r="G29" i="19"/>
  <c r="H29" i="19"/>
  <c r="I29" i="19"/>
  <c r="J29" i="19"/>
  <c r="G11" i="19"/>
  <c r="H11" i="19"/>
  <c r="I11" i="19"/>
  <c r="J11" i="19"/>
  <c r="G17" i="19"/>
  <c r="H17" i="19"/>
  <c r="I17" i="19"/>
  <c r="J17" i="19"/>
  <c r="G20" i="19"/>
  <c r="H20" i="19"/>
  <c r="I20" i="19"/>
  <c r="J20" i="19"/>
  <c r="G23" i="19"/>
  <c r="H23" i="19"/>
  <c r="I23" i="19"/>
  <c r="J23" i="19"/>
  <c r="G26" i="19"/>
  <c r="H26" i="19"/>
  <c r="I26" i="19"/>
  <c r="J26" i="19"/>
  <c r="G32" i="19"/>
  <c r="H32" i="19"/>
  <c r="I32" i="19"/>
  <c r="J32" i="19"/>
  <c r="G35" i="19"/>
  <c r="H35" i="19"/>
  <c r="I35" i="19"/>
  <c r="J35" i="19"/>
  <c r="G38" i="19"/>
  <c r="H38" i="19"/>
  <c r="I38" i="19"/>
  <c r="J38" i="19"/>
  <c r="G34" i="19"/>
  <c r="H34" i="19"/>
  <c r="I34" i="19"/>
  <c r="J34" i="19"/>
  <c r="G19" i="19"/>
  <c r="H19" i="19"/>
  <c r="I19" i="19"/>
  <c r="J19" i="19"/>
  <c r="G13" i="19"/>
  <c r="H13" i="19"/>
  <c r="I13" i="19"/>
  <c r="J13" i="19"/>
  <c r="G25" i="19"/>
  <c r="H25" i="19"/>
  <c r="I25" i="19"/>
  <c r="J25" i="19"/>
  <c r="G31" i="19"/>
  <c r="H31" i="19"/>
  <c r="I31" i="19"/>
  <c r="J31" i="19"/>
  <c r="G37" i="19"/>
  <c r="H37" i="19"/>
  <c r="I37" i="19"/>
  <c r="J37" i="19"/>
  <c r="G9" i="19"/>
  <c r="H9" i="19"/>
  <c r="I9" i="19"/>
  <c r="J9" i="19"/>
  <c r="G10" i="19"/>
  <c r="H10" i="19"/>
  <c r="I10" i="19"/>
  <c r="J10" i="19"/>
  <c r="G16" i="19"/>
  <c r="H16" i="19"/>
  <c r="I16" i="19"/>
  <c r="J16" i="19"/>
  <c r="G22" i="19"/>
  <c r="H22" i="19"/>
  <c r="I22" i="19"/>
  <c r="J22" i="19"/>
  <c r="G28" i="19"/>
  <c r="H28" i="19"/>
  <c r="I28" i="19"/>
  <c r="J28" i="19"/>
  <c r="G8" i="19"/>
  <c r="H8" i="19"/>
  <c r="I8" i="19"/>
  <c r="J8" i="19"/>
  <c r="J43" i="19"/>
  <c r="D7" i="23"/>
  <c r="E12" i="19"/>
  <c r="D12" i="19"/>
  <c r="F12" i="19"/>
  <c r="E15" i="19"/>
  <c r="D15" i="19"/>
  <c r="F15" i="19"/>
  <c r="E18" i="19"/>
  <c r="D18" i="19"/>
  <c r="F18" i="19"/>
  <c r="E21" i="19"/>
  <c r="D21" i="19"/>
  <c r="F21" i="19"/>
  <c r="E24" i="19"/>
  <c r="D24" i="19"/>
  <c r="F24" i="19"/>
  <c r="E27" i="19"/>
  <c r="D27" i="19"/>
  <c r="F27" i="19"/>
  <c r="E30" i="19"/>
  <c r="D30" i="19"/>
  <c r="F30" i="19"/>
  <c r="E33" i="19"/>
  <c r="D33" i="19"/>
  <c r="F33" i="19"/>
  <c r="E36" i="19"/>
  <c r="D36" i="19"/>
  <c r="F36" i="19"/>
  <c r="E39" i="19"/>
  <c r="D39" i="19"/>
  <c r="F39" i="19"/>
  <c r="D8" i="19"/>
  <c r="E8" i="19"/>
  <c r="F8" i="19"/>
  <c r="D10" i="19"/>
  <c r="E10" i="19"/>
  <c r="F10" i="19"/>
  <c r="D9" i="19"/>
  <c r="E9" i="19"/>
  <c r="F9" i="19"/>
  <c r="D11" i="19"/>
  <c r="E11" i="19"/>
  <c r="F11" i="19"/>
  <c r="D13" i="19"/>
  <c r="E13" i="19"/>
  <c r="F13" i="19"/>
  <c r="D14" i="19"/>
  <c r="E14" i="19"/>
  <c r="F14" i="19"/>
  <c r="D16" i="19"/>
  <c r="E16" i="19"/>
  <c r="F16" i="19"/>
  <c r="D17" i="19"/>
  <c r="E17" i="19"/>
  <c r="F17" i="19"/>
  <c r="D19" i="19"/>
  <c r="E19" i="19"/>
  <c r="F19" i="19"/>
  <c r="D20" i="19"/>
  <c r="E20" i="19"/>
  <c r="F20" i="19"/>
  <c r="D22" i="19"/>
  <c r="E22" i="19"/>
  <c r="F22" i="19"/>
  <c r="D23" i="19"/>
  <c r="E23" i="19"/>
  <c r="F23" i="19"/>
  <c r="D25" i="19"/>
  <c r="E25" i="19"/>
  <c r="F25" i="19"/>
  <c r="D26" i="19"/>
  <c r="E26" i="19"/>
  <c r="F26" i="19"/>
  <c r="D28" i="19"/>
  <c r="E28" i="19"/>
  <c r="F28" i="19"/>
  <c r="D29" i="19"/>
  <c r="E29" i="19"/>
  <c r="F29" i="19"/>
  <c r="D31" i="19"/>
  <c r="E31" i="19"/>
  <c r="F31" i="19"/>
  <c r="D32" i="19"/>
  <c r="E32" i="19"/>
  <c r="F32" i="19"/>
  <c r="D34" i="19"/>
  <c r="E34" i="19"/>
  <c r="F34" i="19"/>
  <c r="D35" i="19"/>
  <c r="E35" i="19"/>
  <c r="F35" i="19"/>
  <c r="D37" i="19"/>
  <c r="E37" i="19"/>
  <c r="F37" i="19"/>
  <c r="D38" i="19"/>
  <c r="E38" i="19"/>
  <c r="F38" i="19"/>
  <c r="F43" i="19"/>
  <c r="D8" i="23"/>
  <c r="D11" i="23"/>
  <c r="J42" i="19"/>
  <c r="C7" i="23"/>
  <c r="F42" i="19"/>
  <c r="C8" i="23"/>
  <c r="C11" i="23"/>
  <c r="D10" i="23"/>
  <c r="C10" i="23"/>
  <c r="D43" i="35"/>
  <c r="D17" i="20"/>
  <c r="D42" i="35"/>
  <c r="C17" i="20"/>
  <c r="F42" i="33"/>
  <c r="D8" i="20"/>
  <c r="F41" i="33"/>
  <c r="C8" i="20"/>
  <c r="D42" i="30"/>
  <c r="D10" i="20"/>
  <c r="D41" i="30"/>
  <c r="C10" i="20"/>
  <c r="D40" i="35"/>
  <c r="C40" i="35"/>
  <c r="E9" i="34"/>
  <c r="E7" i="34"/>
  <c r="E8" i="34"/>
  <c r="E10" i="34"/>
  <c r="E11" i="34"/>
  <c r="E12" i="34"/>
  <c r="E13" i="34"/>
  <c r="E31" i="34"/>
  <c r="E14" i="34"/>
  <c r="E15" i="34"/>
  <c r="E16" i="34"/>
  <c r="E17" i="34"/>
  <c r="E18" i="34"/>
  <c r="E19" i="34"/>
  <c r="E20" i="34"/>
  <c r="E21" i="34"/>
  <c r="E22" i="34"/>
  <c r="E23" i="34"/>
  <c r="E24" i="34"/>
  <c r="E25" i="34"/>
  <c r="E26" i="34"/>
  <c r="E27" i="34"/>
  <c r="E28" i="34"/>
  <c r="E29" i="34"/>
  <c r="E30" i="34"/>
  <c r="E32" i="34"/>
  <c r="E33" i="34"/>
  <c r="E34" i="34"/>
  <c r="D39" i="33"/>
  <c r="D42" i="33"/>
  <c r="D41" i="33"/>
  <c r="E41" i="33"/>
  <c r="F39" i="33"/>
  <c r="E42" i="33"/>
  <c r="E39" i="33"/>
  <c r="C39" i="33"/>
  <c r="D42" i="31"/>
  <c r="D41" i="31"/>
  <c r="D39" i="31"/>
  <c r="C39" i="31"/>
  <c r="K11" i="19"/>
  <c r="K8" i="19"/>
  <c r="K9" i="19"/>
  <c r="K10"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3" i="19"/>
  <c r="K42" i="19"/>
  <c r="K40" i="19"/>
  <c r="J40" i="19"/>
  <c r="I43" i="19"/>
  <c r="I42" i="19"/>
  <c r="I40" i="19"/>
  <c r="G43" i="19"/>
  <c r="G42" i="19"/>
  <c r="G40" i="19"/>
  <c r="F40" i="19"/>
  <c r="E43" i="19"/>
  <c r="E42" i="19"/>
  <c r="E40" i="19"/>
  <c r="D43" i="19"/>
  <c r="D42" i="19"/>
  <c r="D40" i="19"/>
  <c r="D42" i="24"/>
  <c r="D41" i="24"/>
  <c r="H43" i="19"/>
  <c r="H42" i="19"/>
  <c r="H40" i="19"/>
  <c r="C40" i="19"/>
  <c r="C39" i="30"/>
  <c r="C39" i="24"/>
  <c r="C39" i="29"/>
  <c r="D39" i="30"/>
  <c r="D42" i="29"/>
  <c r="D41" i="29"/>
  <c r="D39" i="29"/>
  <c r="D39" i="24"/>
  <c r="D11" i="20"/>
  <c r="D21" i="20"/>
  <c r="C11" i="20"/>
  <c r="C21" i="20"/>
  <c r="J27" i="57" l="1"/>
  <c r="K27" i="57" s="1"/>
  <c r="C11" i="60"/>
  <c r="E63" i="55"/>
  <c r="F56" i="59"/>
  <c r="M27" i="59"/>
  <c r="L33" i="57"/>
  <c r="L32" i="57"/>
  <c r="N32" i="57" s="1"/>
  <c r="F56" i="57"/>
  <c r="M30" i="57"/>
  <c r="F41" i="57" s="1"/>
  <c r="P11" i="58" s="1"/>
  <c r="F53" i="59"/>
  <c r="E37" i="59"/>
  <c r="M22" i="59"/>
  <c r="F51" i="57"/>
  <c r="M18" i="57"/>
  <c r="M19" i="57" s="1"/>
  <c r="M18" i="59"/>
  <c r="M17" i="59" s="1"/>
  <c r="F51" i="59"/>
  <c r="F57" i="57"/>
  <c r="M33" i="57"/>
  <c r="L25" i="57"/>
  <c r="N25" i="57" s="1"/>
  <c r="M22" i="57"/>
  <c r="M33" i="59"/>
  <c r="G60" i="59" s="1"/>
  <c r="J33" i="59"/>
  <c r="C8" i="60"/>
  <c r="E60" i="55"/>
  <c r="L23" i="59"/>
  <c r="G54" i="59"/>
  <c r="F40" i="59"/>
  <c r="P11" i="60" s="1"/>
  <c r="L24" i="59"/>
  <c r="G55" i="59"/>
  <c r="D39" i="57"/>
  <c r="Q16" i="57"/>
  <c r="P16" i="57"/>
  <c r="O16" i="57"/>
  <c r="K16" i="57"/>
  <c r="R16" i="57"/>
  <c r="L27" i="57"/>
  <c r="N27" i="57" s="1"/>
  <c r="J28" i="59"/>
  <c r="F26" i="59"/>
  <c r="G26" i="59" s="1"/>
  <c r="L26" i="59" s="1"/>
  <c r="N26" i="59" s="1"/>
  <c r="P26" i="59" s="1"/>
  <c r="Q15" i="59"/>
  <c r="T15" i="59"/>
  <c r="T35" i="59" s="1"/>
  <c r="S15" i="59"/>
  <c r="K15" i="59"/>
  <c r="D38" i="59"/>
  <c r="R15" i="59"/>
  <c r="R35" i="59" s="1"/>
  <c r="S35" i="59"/>
  <c r="C10" i="58"/>
  <c r="C62" i="55"/>
  <c r="D72" i="55" s="1"/>
  <c r="E72" i="55" s="1"/>
  <c r="F59" i="59"/>
  <c r="M32" i="59"/>
  <c r="F54" i="57"/>
  <c r="M28" i="57"/>
  <c r="O8" i="58"/>
  <c r="N8" i="58" s="1"/>
  <c r="G51" i="57"/>
  <c r="N18" i="57"/>
  <c r="C11" i="58"/>
  <c r="C63" i="55"/>
  <c r="D71" i="55" s="1"/>
  <c r="E71" i="55" s="1"/>
  <c r="C9" i="58" l="1"/>
  <c r="C61" i="55"/>
  <c r="D42" i="57"/>
  <c r="M15" i="59"/>
  <c r="F50" i="59"/>
  <c r="F50" i="57"/>
  <c r="M16" i="57"/>
  <c r="F39" i="57" s="1"/>
  <c r="E39" i="57"/>
  <c r="E8" i="60"/>
  <c r="E38" i="59"/>
  <c r="E41" i="59" s="1"/>
  <c r="F60" i="55"/>
  <c r="F69" i="55" s="1"/>
  <c r="G69" i="55" s="1"/>
  <c r="H69" i="55" s="1"/>
  <c r="G56" i="59"/>
  <c r="O10" i="58"/>
  <c r="L10" i="58"/>
  <c r="F60" i="59"/>
  <c r="J31" i="59"/>
  <c r="G51" i="59"/>
  <c r="G59" i="59"/>
  <c r="M31" i="59"/>
  <c r="M28" i="59"/>
  <c r="M26" i="59" s="1"/>
  <c r="F57" i="59"/>
  <c r="J26" i="59"/>
  <c r="K26" i="59" s="1"/>
  <c r="D39" i="59"/>
  <c r="D41" i="59" s="1"/>
  <c r="G57" i="57"/>
  <c r="M32" i="57"/>
  <c r="G53" i="59"/>
  <c r="F37" i="59"/>
  <c r="M21" i="59"/>
  <c r="F71" i="55"/>
  <c r="G71" i="55" s="1"/>
  <c r="H71" i="55" s="1"/>
  <c r="F72" i="55"/>
  <c r="G72" i="55" s="1"/>
  <c r="H72" i="55" s="1"/>
  <c r="Q35" i="59"/>
  <c r="G56" i="57"/>
  <c r="L30" i="57"/>
  <c r="L28" i="57" s="1"/>
  <c r="O11" i="60"/>
  <c r="N11" i="60" s="1"/>
  <c r="L11" i="60"/>
  <c r="O11" i="58"/>
  <c r="N11" i="58" s="1"/>
  <c r="L11" i="58"/>
  <c r="C9" i="60"/>
  <c r="E61" i="55"/>
  <c r="O8" i="60"/>
  <c r="N8" i="60" s="1"/>
  <c r="G54" i="57"/>
  <c r="M27" i="57"/>
  <c r="G60" i="57" l="1"/>
  <c r="E12" i="60"/>
  <c r="F64" i="55"/>
  <c r="C12" i="60"/>
  <c r="D9" i="60" s="1"/>
  <c r="E64" i="55"/>
  <c r="L9" i="60"/>
  <c r="O9" i="60"/>
  <c r="N9" i="60" s="1"/>
  <c r="O9" i="58"/>
  <c r="N9" i="58" s="1"/>
  <c r="L9" i="58"/>
  <c r="P8" i="60"/>
  <c r="G57" i="59"/>
  <c r="F39" i="59"/>
  <c r="P10" i="60" s="1"/>
  <c r="E9" i="58"/>
  <c r="D61" i="55"/>
  <c r="D70" i="55" s="1"/>
  <c r="E70" i="55" s="1"/>
  <c r="E42" i="57"/>
  <c r="D64" i="55" s="1"/>
  <c r="G50" i="59"/>
  <c r="G62" i="59" s="1"/>
  <c r="F38" i="59"/>
  <c r="P9" i="60" s="1"/>
  <c r="C10" i="60"/>
  <c r="E62" i="55"/>
  <c r="K31" i="59"/>
  <c r="N10" i="58"/>
  <c r="P9" i="58"/>
  <c r="F42" i="57"/>
  <c r="C12" i="58"/>
  <c r="D9" i="58" s="1"/>
  <c r="F60" i="57"/>
  <c r="C64" i="55"/>
  <c r="E9" i="60"/>
  <c r="F61" i="55"/>
  <c r="F70" i="55" s="1"/>
  <c r="G70" i="55" s="1"/>
  <c r="E20" i="60" l="1"/>
  <c r="Q9" i="60"/>
  <c r="F89" i="55" s="1"/>
  <c r="R9" i="58"/>
  <c r="S9" i="58" s="1"/>
  <c r="E20" i="58"/>
  <c r="Q9" i="58"/>
  <c r="D89" i="55" s="1"/>
  <c r="F41" i="59"/>
  <c r="H70" i="55"/>
  <c r="D8" i="58"/>
  <c r="D10" i="58"/>
  <c r="D11" i="58"/>
  <c r="D10" i="60"/>
  <c r="O10" i="60"/>
  <c r="N10" i="60" s="1"/>
  <c r="L10" i="60"/>
  <c r="D8" i="60"/>
  <c r="D11" i="60"/>
  <c r="R9" i="60" l="1"/>
  <c r="S9" i="60" s="1"/>
  <c r="Q10" i="60"/>
  <c r="E21" i="60"/>
  <c r="Q8" i="58"/>
  <c r="E19" i="58"/>
  <c r="F20" i="60"/>
  <c r="E89" i="55"/>
  <c r="Q11" i="60"/>
  <c r="E22" i="60"/>
  <c r="E22" i="58"/>
  <c r="Q11" i="58"/>
  <c r="F20" i="58"/>
  <c r="C89" i="55"/>
  <c r="E19" i="60"/>
  <c r="Q8" i="60"/>
  <c r="D12" i="60"/>
  <c r="E21" i="58"/>
  <c r="Q10" i="58"/>
  <c r="F88" i="55" l="1"/>
  <c r="R8" i="60"/>
  <c r="S8" i="60" s="1"/>
  <c r="D91" i="55"/>
  <c r="R11" i="58"/>
  <c r="S11" i="58" s="1"/>
  <c r="D88" i="55"/>
  <c r="R8" i="58"/>
  <c r="S8" i="58" s="1"/>
  <c r="D90" i="55"/>
  <c r="R10" i="58"/>
  <c r="S10" i="58" s="1"/>
  <c r="F19" i="60"/>
  <c r="E88" i="55"/>
  <c r="F22" i="58"/>
  <c r="C91" i="55"/>
  <c r="F21" i="60"/>
  <c r="E90" i="55"/>
  <c r="F21" i="58"/>
  <c r="C90" i="55"/>
  <c r="F22" i="60"/>
  <c r="E91" i="55"/>
  <c r="F90" i="55"/>
  <c r="R10" i="60"/>
  <c r="S10" i="60" s="1"/>
  <c r="F91" i="55"/>
  <c r="R11" i="60"/>
  <c r="S11" i="60" s="1"/>
  <c r="F19" i="58"/>
  <c r="F23" i="58" s="1"/>
  <c r="G23" i="58" s="1"/>
  <c r="E23" i="58"/>
  <c r="C88" i="55"/>
  <c r="F23" i="60" l="1"/>
  <c r="G23" i="60" s="1"/>
  <c r="D92" i="55"/>
  <c r="F92" i="55"/>
</calcChain>
</file>

<file path=xl/sharedStrings.xml><?xml version="1.0" encoding="utf-8"?>
<sst xmlns="http://schemas.openxmlformats.org/spreadsheetml/2006/main" count="2607" uniqueCount="1123">
  <si>
    <t>Costs</t>
  </si>
  <si>
    <t>Construction Costs</t>
  </si>
  <si>
    <t>Total Quantified Costs</t>
  </si>
  <si>
    <t>Benefits</t>
  </si>
  <si>
    <t>Subtotal</t>
  </si>
  <si>
    <t>Total Quantified Benefits</t>
  </si>
  <si>
    <t>Total</t>
  </si>
  <si>
    <t>Change to Baseline</t>
  </si>
  <si>
    <t>Type of Impacts</t>
  </si>
  <si>
    <t>Population Affected by Impacts</t>
  </si>
  <si>
    <t>Economic Benefit</t>
  </si>
  <si>
    <t>Summary of Results</t>
  </si>
  <si>
    <t>Page Reference in BCA</t>
  </si>
  <si>
    <t>HR&amp;A Advisors, Inc.</t>
  </si>
  <si>
    <t>Source</t>
  </si>
  <si>
    <t>Year</t>
  </si>
  <si>
    <t>Project Matrix</t>
  </si>
  <si>
    <t>Years</t>
  </si>
  <si>
    <t>Current Status / Baseline &amp; Problem to be Addressed</t>
  </si>
  <si>
    <t>Total Project Cost</t>
  </si>
  <si>
    <t xml:space="preserve">Project Construction </t>
  </si>
  <si>
    <t>Requested TIGER Grant</t>
  </si>
  <si>
    <t>Total Funding</t>
  </si>
  <si>
    <t>Total Costs</t>
  </si>
  <si>
    <t>Maintenance and Repair Costs</t>
  </si>
  <si>
    <t xml:space="preserve">Total </t>
  </si>
  <si>
    <t>State of Good Repair</t>
  </si>
  <si>
    <t>Lifecycle Cost Savings</t>
  </si>
  <si>
    <t>Economic Competiveness</t>
  </si>
  <si>
    <t>Land Value - New Development Parcels</t>
  </si>
  <si>
    <t>Land Value - Increased Neighborhood Amenity</t>
  </si>
  <si>
    <t>Safety</t>
  </si>
  <si>
    <t>Sustainability</t>
  </si>
  <si>
    <t>Total Benefits</t>
  </si>
  <si>
    <t>Total Benefits less Total Costs</t>
  </si>
  <si>
    <t>Benefits Less Costs</t>
  </si>
  <si>
    <t>Net Present Value</t>
  </si>
  <si>
    <t>Project Year</t>
  </si>
  <si>
    <t>Economic Competitiveness</t>
  </si>
  <si>
    <t xml:space="preserve">Safety </t>
  </si>
  <si>
    <t xml:space="preserve">Total Benefits </t>
  </si>
  <si>
    <t>Total Benefits Less Costs</t>
  </si>
  <si>
    <t>Maintenance &amp; Repair Costs</t>
  </si>
  <si>
    <t xml:space="preserve">Category of Benefit </t>
  </si>
  <si>
    <t xml:space="preserve">Economic Productivity </t>
  </si>
  <si>
    <t xml:space="preserve">Livability </t>
  </si>
  <si>
    <t>Multi-Modal Transportation Choices</t>
  </si>
  <si>
    <t>Not Quantified</t>
  </si>
  <si>
    <t>Improved Community Cohesion</t>
  </si>
  <si>
    <t>Benefits to Low-Income Neighborhoods</t>
  </si>
  <si>
    <t xml:space="preserve">Not Quantified </t>
  </si>
  <si>
    <t>All Benefits</t>
  </si>
  <si>
    <t>Construction Job Creation by Quarter</t>
  </si>
  <si>
    <t>Construction Costs Expended</t>
  </si>
  <si>
    <t>Job-Years Created*</t>
  </si>
  <si>
    <r>
      <t>*</t>
    </r>
    <r>
      <rPr>
        <sz val="9"/>
        <color theme="1"/>
        <rFont val="Tw Cen MT"/>
        <family val="2"/>
      </rPr>
      <t xml:space="preserve">Based upon 2011 Council of Economic Advisers estimate that $76,923 in transportation infrastructure spending creates one job-year. </t>
    </r>
  </si>
  <si>
    <t>Value of New Development Parcels</t>
  </si>
  <si>
    <t>Value of Increased Neighborhood Amenity</t>
  </si>
  <si>
    <t>Net Present Value
3% Discount Rate</t>
  </si>
  <si>
    <t>Net Present Value
7% Discount Rate</t>
  </si>
  <si>
    <t>Net Present Value of Benefits and Costs</t>
  </si>
  <si>
    <t>Benefit Cost Ratio</t>
  </si>
  <si>
    <t>3% Discount Rate</t>
  </si>
  <si>
    <t>7% Discount Rate</t>
  </si>
  <si>
    <t>Stantec</t>
  </si>
  <si>
    <t>Total Discounted Benefits (3%)</t>
  </si>
  <si>
    <t>Total Discounted Benefits (7%)</t>
  </si>
  <si>
    <t>Project Funding</t>
  </si>
  <si>
    <t>Cost (2013 $)</t>
  </si>
  <si>
    <t>Total Project Maintenance Costs (2015-2045)</t>
  </si>
  <si>
    <t>City of Rochester Assessor</t>
  </si>
  <si>
    <t xml:space="preserve">Projected Property Value Percentage Increase Due to Inner Loop East Reconstruction </t>
  </si>
  <si>
    <t>Increase in Study Area Property Values (2013 $)</t>
  </si>
  <si>
    <t>HR&amp;A Case Study Analysis</t>
  </si>
  <si>
    <t>Calculation</t>
  </si>
  <si>
    <t>Total Land (Acres)</t>
  </si>
  <si>
    <t>Office Square Feet</t>
  </si>
  <si>
    <t>Retail Square Feet</t>
  </si>
  <si>
    <t>Residential - Rental Square Feet</t>
  </si>
  <si>
    <t>Study Area Cumulative Property Value</t>
  </si>
  <si>
    <t>Land Value Increase 
(2013 $)</t>
  </si>
  <si>
    <t>Crack Sealing / Striping</t>
  </si>
  <si>
    <t>Category</t>
  </si>
  <si>
    <t xml:space="preserve">Quantity </t>
  </si>
  <si>
    <t>Total Cost 2013$</t>
  </si>
  <si>
    <t xml:space="preserve">Cost per Application </t>
  </si>
  <si>
    <t>Construction Cost ($ 2013)</t>
  </si>
  <si>
    <t>Project Maintenance Cost ($ 2013)</t>
  </si>
  <si>
    <t>Mill and Resurface City Streets</t>
  </si>
  <si>
    <t xml:space="preserve">City Streets Full Depth Pavement Reconstruction </t>
  </si>
  <si>
    <t>City Streets Mill and Resurface</t>
  </si>
  <si>
    <t>City Streets Crack Sealing / Striping</t>
  </si>
  <si>
    <t xml:space="preserve">Inner Loop Full Depth Pavement Reconstruction </t>
  </si>
  <si>
    <t>Inner Loop Mill and Resurface</t>
  </si>
  <si>
    <t>Inner Loop Crack Sealing / Striping</t>
  </si>
  <si>
    <t>New Signal Installation</t>
  </si>
  <si>
    <t>Monroe Bridge Joint Repair</t>
  </si>
  <si>
    <t>Monroe Bridge Deck Inlay</t>
  </si>
  <si>
    <t>Monroe Bridge Concrete and Steel Rehab</t>
  </si>
  <si>
    <t>Broad Bridge Rehabilitation</t>
  </si>
  <si>
    <t>Broad Bridge Painting</t>
  </si>
  <si>
    <t>Broad Bridge Joint Repair</t>
  </si>
  <si>
    <t>Broad Bridge Deck Inlay</t>
  </si>
  <si>
    <t>Broad Bridge Concrete and Steel Rehab</t>
  </si>
  <si>
    <t>East Bridge Rehabilitation</t>
  </si>
  <si>
    <t xml:space="preserve">East Bridge Painting </t>
  </si>
  <si>
    <t>East Bridge Bearing Lube</t>
  </si>
  <si>
    <t>East Bridge Joint Repair</t>
  </si>
  <si>
    <t>East Bridge Deck Inlay</t>
  </si>
  <si>
    <t>East Bridge Concrete and Steel Rehab</t>
  </si>
  <si>
    <t>Monroe Bridge Washing</t>
  </si>
  <si>
    <t>Broad Bridge Washing</t>
  </si>
  <si>
    <t>East Bridge Washing</t>
  </si>
  <si>
    <t>Wall Surface Rehabilitation 1</t>
  </si>
  <si>
    <t>Wall Surface Rehabilitation 2</t>
  </si>
  <si>
    <t>Wall Surface Rehabilitation 3</t>
  </si>
  <si>
    <t xml:space="preserve">No Build Maintenance Cost ($ 2013) </t>
  </si>
  <si>
    <t>Cost Savings 
($ 2013)</t>
  </si>
  <si>
    <t>Total Cost (2013$)</t>
  </si>
  <si>
    <t>Safety Value Increase
(2013 $)</t>
  </si>
  <si>
    <t>Prevented Injuries, Fatalities, and Accidents</t>
  </si>
  <si>
    <t>Full Depth Pavement Reconstruction 2014 Expenditure</t>
  </si>
  <si>
    <t>Full Depth Pavement Reconstruction 2015 Expenditure</t>
  </si>
  <si>
    <t>Full Depth Pavement Reconstruction 2016 Expenditure</t>
  </si>
  <si>
    <t>New Traffic Signal Installation (2016)</t>
  </si>
  <si>
    <t>Full Depth Pavement Reconstruction (2014-2016)</t>
  </si>
  <si>
    <t>Increased productivity of land</t>
  </si>
  <si>
    <t xml:space="preserve">City of Rochester (210,855 residents in 2011) which owns land
</t>
  </si>
  <si>
    <t>Monetized value of land for mixed-use development project</t>
  </si>
  <si>
    <t>The underutilized Inner Loop prevents development of valuable Downtown parcels occupied by infrastructure</t>
  </si>
  <si>
    <t>$8,037,000 in undiscounted benefits</t>
  </si>
  <si>
    <t>Removal of eastern portion of Inner Loop and replacement with modern at-grade urban boulevard</t>
  </si>
  <si>
    <t>(1) $16,741,870 in undiscounted benefits</t>
  </si>
  <si>
    <t>NPV 3% Discount Rate</t>
  </si>
  <si>
    <t>NPV 7% Discount Rate</t>
  </si>
  <si>
    <t>NPV at 3% Discount Rate</t>
  </si>
  <si>
    <t>NPV at 7% Discount Rate</t>
  </si>
  <si>
    <t>Newly Created Parcels Value</t>
  </si>
  <si>
    <t>Prevented Injuries &amp; Accidents</t>
  </si>
  <si>
    <t>Existing Parcel Value Increase</t>
  </si>
  <si>
    <t>Inner Loop is a sunken expressway that requires significant repair and maintenance, and encourages travel at higher speeds, increasing probability that accidents result in injury</t>
  </si>
  <si>
    <t>(1) Lifecycle maintenance and repair savings 
(2) Improved safety due to lower travel speeds</t>
  </si>
  <si>
    <t>(1) City of Rochester (210,855 residents, 2011) and New York State (19.47 million residents, 2011), which pay for maintenance
(2) 40 annual auto accident victims who benefit from fewer injuries</t>
  </si>
  <si>
    <t>(1) Monetized value of lifecycle cost savings
(2) Monetized value of prevented injuries</t>
  </si>
  <si>
    <t>As a multi-lane sunken expressway, the Inner Loop acts as a barrier that frustrates intra-city connections and is a disamenity to surrounding neighborhoods</t>
  </si>
  <si>
    <t>Creation of four connections across new urban boulevard on eastern portion of Inner Loop and improved neighborhood aesthetics</t>
  </si>
  <si>
    <t>(1) Owners of 911 parcels expected to increase in value
(2) 30,293 residents in Greater Center City area
(3) Businesses in Downtown Rochester and 7,400 employees who have better access to work</t>
  </si>
  <si>
    <t>(1) Monetized value of land values increases
(2) Not quantified benefit of better health and environment
(3) Not quantified benefit of enhanced productivity</t>
  </si>
  <si>
    <t>Creation of 8.9 acres of developable land due to removal of infrastructure.</t>
  </si>
  <si>
    <t>(1) Increased productivity of land due to improved aesthetics and connections
(2) Reduced emissions and better health due to mode shifts to walking and bicycling
(3) Enhanced productivity by improving access to Downtown employment center</t>
  </si>
  <si>
    <t>Q4 2014:  $2,321,062</t>
  </si>
  <si>
    <t>Q1 2015:  $1,290,255</t>
  </si>
  <si>
    <t>Q2 2015:  $5,161,019</t>
  </si>
  <si>
    <t>Q3 2015:  $5,161,019</t>
  </si>
  <si>
    <t>Q4 2015:  $1,290,255</t>
  </si>
  <si>
    <t>Q1 2016:  $464,212</t>
  </si>
  <si>
    <t>Q2 2016:  $4,177,911</t>
  </si>
  <si>
    <t>Q3 2016:  $4,177,911</t>
  </si>
  <si>
    <t>Q4 2016:  $464,212</t>
  </si>
  <si>
    <t>Quarter</t>
  </si>
  <si>
    <t>Q4 2014</t>
  </si>
  <si>
    <t>Q1 2015</t>
  </si>
  <si>
    <t>Q2 2015</t>
  </si>
  <si>
    <t>Q3 2015</t>
  </si>
  <si>
    <t>Q4 2015</t>
  </si>
  <si>
    <t>Q1 2016</t>
  </si>
  <si>
    <t>Q2 2016</t>
  </si>
  <si>
    <t>Q3 2016</t>
  </si>
  <si>
    <t>Q4 2016</t>
  </si>
  <si>
    <t>AIS Level 1  - Minor</t>
  </si>
  <si>
    <t>AIS Level 2  - Moderate</t>
  </si>
  <si>
    <t>AIS Level 3  - Serious</t>
  </si>
  <si>
    <t>AIS Level 4  - Severe</t>
  </si>
  <si>
    <t>AIS Level 5  - Critical</t>
  </si>
  <si>
    <t>AIS Level 6  - Unsurvivable</t>
  </si>
  <si>
    <t>Property Damages Only (PDO) Crashes</t>
  </si>
  <si>
    <t>Distribution of Severity-Unknown Injuries</t>
  </si>
  <si>
    <t>No Injury</t>
  </si>
  <si>
    <t>Residential Land Value - For Sale</t>
  </si>
  <si>
    <t xml:space="preserve">Residential Land Value - Rental </t>
  </si>
  <si>
    <t>Retail Land Value</t>
  </si>
  <si>
    <t>Office Land Value</t>
  </si>
  <si>
    <t>Total Land Value (2013 $)</t>
  </si>
  <si>
    <t>HR&amp;A Development Scenarios</t>
  </si>
  <si>
    <t>City of Rochester Match</t>
  </si>
  <si>
    <t xml:space="preserve">Category </t>
  </si>
  <si>
    <t>Total Maintenance Cost</t>
  </si>
  <si>
    <t>Cost (2015 $)*</t>
  </si>
  <si>
    <t>Design Costs (Already Expended or Funded)</t>
  </si>
  <si>
    <t xml:space="preserve">* Assumes 3% inflation annually, 2013-2015. </t>
  </si>
  <si>
    <t>Funding (2015 $)</t>
  </si>
  <si>
    <t>Inner Loop East Reconstruction Project</t>
  </si>
  <si>
    <t>Detailed Annual Model</t>
  </si>
  <si>
    <t>Benefits Summary</t>
  </si>
  <si>
    <t>Project Cost and Sources of Funding Summary</t>
  </si>
  <si>
    <t>Summary of Project Benefits and Costs</t>
  </si>
  <si>
    <t xml:space="preserve">Construction Costs Summary </t>
  </si>
  <si>
    <t>Maintenance and Repair Costs Summary</t>
  </si>
  <si>
    <t>Lifecycle Cost Savings Summary</t>
  </si>
  <si>
    <t>Existing Parcel Value Increase Summary</t>
  </si>
  <si>
    <t>Newly Created Parcels Value Summary</t>
  </si>
  <si>
    <t xml:space="preserve">Prevented Injuries &amp; Accidents Summary </t>
  </si>
  <si>
    <t>Expenditure (2013 $)</t>
  </si>
  <si>
    <t>Detailed Construction Costs</t>
  </si>
  <si>
    <t>Detailed Project Maintenance and Repair</t>
  </si>
  <si>
    <t>Land Value Creation Assumptions</t>
  </si>
  <si>
    <t>Residential - For Sale Square Feet</t>
  </si>
  <si>
    <t>Value of Avoided Injuries and Fatalities</t>
  </si>
  <si>
    <r>
      <t xml:space="preserve">Source: Department of Transportation, </t>
    </r>
    <r>
      <rPr>
        <i/>
        <sz val="9"/>
        <color theme="1"/>
        <rFont val="Tw Cen MT"/>
        <family val="2"/>
      </rPr>
      <t>Guidance on Treatment of the Economic Value of a Statistical Life in U.S. Department of Transportation Analyses (2013)</t>
    </r>
  </si>
  <si>
    <t>Value of Property Damage Only Crashes</t>
  </si>
  <si>
    <r>
      <t xml:space="preserve">Source: National Highway Traffic Safety Administration, </t>
    </r>
    <r>
      <rPr>
        <i/>
        <sz val="9"/>
        <color theme="1"/>
        <rFont val="Tw Cen MT"/>
        <family val="2"/>
      </rPr>
      <t>The Economic Impact of Motor Vehicle Crashes (2000)</t>
    </r>
  </si>
  <si>
    <t>Source:  National Highway Traffic Safety Administration (2011)</t>
  </si>
  <si>
    <t>Safety Assumptions</t>
  </si>
  <si>
    <t>TE 164 (Modified by Stantec, 5/24/13)</t>
  </si>
  <si>
    <t>STATE OF NEW YORK</t>
  </si>
  <si>
    <t>TRAFFIC &amp; SAFETY IDENTIFICATION NUMBER</t>
  </si>
  <si>
    <t>DEPARTMENT OF TRANSPORTATION</t>
  </si>
  <si>
    <t>TRAFFIC AND SAFETY DIVISION</t>
  </si>
  <si>
    <t>EVALUATION OF ALTERNATE NO:</t>
  </si>
  <si>
    <t>SAFETY BENEFITS</t>
  </si>
  <si>
    <t>EVALUATION FORM</t>
  </si>
  <si>
    <t>STUDY PERIOD</t>
  </si>
  <si>
    <t>From</t>
  </si>
  <si>
    <t>To</t>
  </si>
  <si>
    <t>No. of Yrs.</t>
  </si>
  <si>
    <t>LOCATION</t>
  </si>
  <si>
    <t>Route No. or Street Name</t>
  </si>
  <si>
    <t>State Highway No.</t>
  </si>
  <si>
    <t>From or At Reference Marker</t>
  </si>
  <si>
    <t>Inner Loop (Howell/Monroe to Charlotte St)</t>
  </si>
  <si>
    <t>Rt. 940T</t>
  </si>
  <si>
    <t>Howell Street Off - Ramp</t>
  </si>
  <si>
    <r>
      <t xml:space="preserve">At Intersection with        </t>
    </r>
    <r>
      <rPr>
        <sz val="7"/>
        <rFont val="Tw Cen MT"/>
        <family val="2"/>
      </rPr>
      <t>(if applicable)</t>
    </r>
  </si>
  <si>
    <t>To Reference Marker</t>
  </si>
  <si>
    <t>Charlotte Street Off - Ramp</t>
  </si>
  <si>
    <t>PROJECT DATA</t>
  </si>
  <si>
    <t>PROPOSED IMPROVEMENT:</t>
  </si>
  <si>
    <t>The proposed improvements include the conversion of an existing high speed Inner Loop expressway, with adjacent parallel low speed city streets, back to the original street grid using sustainable low speed street network principles.</t>
  </si>
  <si>
    <t>Present AADT:</t>
  </si>
  <si>
    <t>Future AADT:</t>
  </si>
  <si>
    <t>Volume Correction Factor (VCF):</t>
  </si>
  <si>
    <t xml:space="preserve"> </t>
  </si>
  <si>
    <t>REDUCTION CALCULATION</t>
  </si>
  <si>
    <t>METHOD I (From Reduction Factor Table)</t>
  </si>
  <si>
    <t>Average Reduction Factor _____%</t>
  </si>
  <si>
    <t>METHOD II (Engineering Analysis)</t>
  </si>
  <si>
    <t>METHOD III (For General Upgradings)</t>
  </si>
  <si>
    <t>a. Total Accidents:</t>
  </si>
  <si>
    <t>a. Existing Accident Rate:</t>
  </si>
  <si>
    <t xml:space="preserve">b. Accidents Reduced: </t>
  </si>
  <si>
    <t>(but severity reduced)</t>
  </si>
  <si>
    <t>b. Future Accident Rate:</t>
  </si>
  <si>
    <t>C. Calculated RF (b/a):</t>
  </si>
  <si>
    <t>c. Difference (a-b):</t>
  </si>
  <si>
    <t>d. Calculated RF (c/a):</t>
  </si>
  <si>
    <t>%</t>
  </si>
  <si>
    <t xml:space="preserve">BRIEFLY EXPLAIN HOW EXPECTED REDUCTION WAS DERIVED: </t>
  </si>
  <si>
    <t>By converting a high speed expressway to a low speed boulevard, the effect will be a reduction of the severity of accident types.  32.5% of the prior-years' accidents that occurred along the expressway resulted in personal injuries while the two adjacent city streets, Pitkin and Union, experienced 7% and 12% injuries, respectively.  By eliminating the  high speed expressway component, the severity of future accidents is expected to emulate those along the existing low speed city streets, estimated to be the average of the two, or 9.5%.</t>
  </si>
  <si>
    <t>PRE-PROJECT COST PER ACCIDENT CALCULATION</t>
  </si>
  <si>
    <t>POST-PROJECT COST PER ACCIDENT CALCULATION</t>
  </si>
  <si>
    <t>TYPE</t>
  </si>
  <si>
    <t>NO. ACC.</t>
  </si>
  <si>
    <t>COST/ACC</t>
  </si>
  <si>
    <t>ACC. COST</t>
  </si>
  <si>
    <t>Fatal</t>
  </si>
  <si>
    <t>x</t>
  </si>
  <si>
    <t>=</t>
  </si>
  <si>
    <t>Injury</t>
  </si>
  <si>
    <t>PDO</t>
  </si>
  <si>
    <t>$</t>
  </si>
  <si>
    <r>
      <t>BEFORE COST/ACC</t>
    </r>
    <r>
      <rPr>
        <sz val="7"/>
        <rFont val="Tw Cen MT"/>
        <family val="2"/>
      </rPr>
      <t xml:space="preserve"> (Tot. Acc. Cost/ Tot. Acc.) </t>
    </r>
  </si>
  <si>
    <t>A. ESTIMATED ANNUAL ACCIDENT COST WITH NO IMPROVEMENT (Pre-Project):</t>
  </si>
  <si>
    <t>ACC/YR</t>
  </si>
  <si>
    <t>X</t>
  </si>
  <si>
    <t xml:space="preserve">VCF </t>
  </si>
  <si>
    <t>BEFORE COST/ACCIDENT</t>
  </si>
  <si>
    <t xml:space="preserve">B. ESTIMATED ANNUAL ACCIDENT COST WITH PROPOSED IMPROVEMENT (Post-Project): </t>
  </si>
  <si>
    <t>(1.00-</t>
  </si>
  <si>
    <t>RF)</t>
  </si>
  <si>
    <t>AVG. COST/ACC.</t>
  </si>
  <si>
    <t>ESTIMATED ANNUAL SAFETY BENEFITS (A-B) =</t>
  </si>
  <si>
    <t>2012 $</t>
  </si>
  <si>
    <t>2013 $*</t>
  </si>
  <si>
    <t>2010 $</t>
  </si>
  <si>
    <t>Expected Value of Avoided Injury (2013 $)</t>
  </si>
  <si>
    <t>Consumer Price Index - All Urban Consumers</t>
  </si>
  <si>
    <t>Original Data Value</t>
  </si>
  <si>
    <t>Series Id:</t>
  </si>
  <si>
    <t>CUUR0000SA0</t>
  </si>
  <si>
    <t>Not Seasonally Adjusted</t>
  </si>
  <si>
    <t>Area:</t>
  </si>
  <si>
    <t>U.S. city average</t>
  </si>
  <si>
    <t>Item:</t>
  </si>
  <si>
    <t>All items</t>
  </si>
  <si>
    <t>Base Period:</t>
  </si>
  <si>
    <t>1982-84=100</t>
  </si>
  <si>
    <t>Years:</t>
  </si>
  <si>
    <t>2003 to 2013</t>
  </si>
  <si>
    <t>Jan</t>
  </si>
  <si>
    <t>Feb</t>
  </si>
  <si>
    <t>Mar</t>
  </si>
  <si>
    <t>Apr</t>
  </si>
  <si>
    <t>May</t>
  </si>
  <si>
    <t>Jun</t>
  </si>
  <si>
    <t>Jul</t>
  </si>
  <si>
    <t>Aug</t>
  </si>
  <si>
    <t>Sep</t>
  </si>
  <si>
    <t>Oct</t>
  </si>
  <si>
    <t>Nov</t>
  </si>
  <si>
    <t>Dec</t>
  </si>
  <si>
    <t>Annual</t>
  </si>
  <si>
    <t>HALF1</t>
  </si>
  <si>
    <t>HALF2</t>
  </si>
  <si>
    <t>Inflation Calculation</t>
  </si>
  <si>
    <t>Price Level</t>
  </si>
  <si>
    <t>Inflation to 2013</t>
  </si>
  <si>
    <t>* Price levels are for the month of April, given the lack of full-year data for 2013</t>
  </si>
  <si>
    <t>* Values Inflated to 2013 dollars using the BLS Consumer Price Index (CPI-U)</t>
  </si>
  <si>
    <t>(1) $34,481,937 in undiscounted benefits. 
(2) $13,467,310 in undiscounted benefits</t>
  </si>
  <si>
    <t>House No.</t>
  </si>
  <si>
    <t>Low Address No.</t>
  </si>
  <si>
    <t>High Address No.</t>
  </si>
  <si>
    <t>Street</t>
  </si>
  <si>
    <t>Zip Code</t>
  </si>
  <si>
    <t>Land Sq Ft</t>
  </si>
  <si>
    <t>2013 Assessment</t>
  </si>
  <si>
    <t>5% Increase in Value</t>
  </si>
  <si>
    <t>0527-533</t>
  </si>
  <si>
    <t>E MAIN ST</t>
  </si>
  <si>
    <t>0390</t>
  </si>
  <si>
    <t>ALEXANDER ST</t>
  </si>
  <si>
    <t>0185-189</t>
  </si>
  <si>
    <t>UNIVERSITY AV</t>
  </si>
  <si>
    <t>0019</t>
  </si>
  <si>
    <t>PRINCE ST</t>
  </si>
  <si>
    <t>0710</t>
  </si>
  <si>
    <t>0059</t>
  </si>
  <si>
    <t>MARSHALL ST</t>
  </si>
  <si>
    <t>0121-125</t>
  </si>
  <si>
    <t>PARK AV</t>
  </si>
  <si>
    <t>0098</t>
  </si>
  <si>
    <t>N UNION ST</t>
  </si>
  <si>
    <t>0302-304</t>
  </si>
  <si>
    <t>0366-UN06</t>
  </si>
  <si>
    <t>UN06</t>
  </si>
  <si>
    <t>0366-UN08</t>
  </si>
  <si>
    <t>UN08</t>
  </si>
  <si>
    <t>0321-325</t>
  </si>
  <si>
    <t>MEIGS ST</t>
  </si>
  <si>
    <t>0034</t>
  </si>
  <si>
    <t>CANFIELD PL</t>
  </si>
  <si>
    <t>0155</t>
  </si>
  <si>
    <t>MONROE AV</t>
  </si>
  <si>
    <t>0086</t>
  </si>
  <si>
    <t>S UNION ST</t>
  </si>
  <si>
    <t>0043</t>
  </si>
  <si>
    <t>0293</t>
  </si>
  <si>
    <t>0120</t>
  </si>
  <si>
    <t>0145-147</t>
  </si>
  <si>
    <t>0275</t>
  </si>
  <si>
    <t>0021</t>
  </si>
  <si>
    <t>RICHMOND ST</t>
  </si>
  <si>
    <t>0164</t>
  </si>
  <si>
    <t>GIBBS ST</t>
  </si>
  <si>
    <t>0135</t>
  </si>
  <si>
    <t>SCIO ST</t>
  </si>
  <si>
    <t>0096-100</t>
  </si>
  <si>
    <t>0160</t>
  </si>
  <si>
    <t>GRIFFITH ST</t>
  </si>
  <si>
    <t>0216</t>
  </si>
  <si>
    <t>0075</t>
  </si>
  <si>
    <t>0051</t>
  </si>
  <si>
    <t>0014</t>
  </si>
  <si>
    <t>LAWRENCE ST</t>
  </si>
  <si>
    <t>0207</t>
  </si>
  <si>
    <t>0173</t>
  </si>
  <si>
    <t>0095</t>
  </si>
  <si>
    <t>CHARLOTTE ST</t>
  </si>
  <si>
    <t>0195</t>
  </si>
  <si>
    <t>0252</t>
  </si>
  <si>
    <t>0202-204</t>
  </si>
  <si>
    <t>LYNDHURST ST</t>
  </si>
  <si>
    <t>0727</t>
  </si>
  <si>
    <t>0157-161</t>
  </si>
  <si>
    <t>0148</t>
  </si>
  <si>
    <t>0403</t>
  </si>
  <si>
    <t>0236</t>
  </si>
  <si>
    <t>0251-255</t>
  </si>
  <si>
    <t>0456</t>
  </si>
  <si>
    <t>0035</t>
  </si>
  <si>
    <t>0331-335</t>
  </si>
  <si>
    <t>0080</t>
  </si>
  <si>
    <t>0063</t>
  </si>
  <si>
    <t>0659</t>
  </si>
  <si>
    <t>AVERILL AV</t>
  </si>
  <si>
    <t>0015</t>
  </si>
  <si>
    <t>MATHEWS ST</t>
  </si>
  <si>
    <t>0163-167</t>
  </si>
  <si>
    <t>0169</t>
  </si>
  <si>
    <t>CHESTNUT ST</t>
  </si>
  <si>
    <t>0214-220</t>
  </si>
  <si>
    <t>0189-191</t>
  </si>
  <si>
    <t>0064</t>
  </si>
  <si>
    <t>0017</t>
  </si>
  <si>
    <t>0029</t>
  </si>
  <si>
    <t>0091</t>
  </si>
  <si>
    <t>0011</t>
  </si>
  <si>
    <t>GROVE PL</t>
  </si>
  <si>
    <t>0045-49</t>
  </si>
  <si>
    <t>0051-55</t>
  </si>
  <si>
    <t>WINDSOR ST</t>
  </si>
  <si>
    <t>0121</t>
  </si>
  <si>
    <t>0002</t>
  </si>
  <si>
    <t>0237</t>
  </si>
  <si>
    <t>0375</t>
  </si>
  <si>
    <t>BROADWAY</t>
  </si>
  <si>
    <t>0007</t>
  </si>
  <si>
    <t>0129</t>
  </si>
  <si>
    <t>WELD ST</t>
  </si>
  <si>
    <t>0170-180</t>
  </si>
  <si>
    <t>EAST AV</t>
  </si>
  <si>
    <t>0420</t>
  </si>
  <si>
    <t>0258</t>
  </si>
  <si>
    <t>0024</t>
  </si>
  <si>
    <t>WINTHROP ST</t>
  </si>
  <si>
    <t>0151</t>
  </si>
  <si>
    <t>0242</t>
  </si>
  <si>
    <t>0690</t>
  </si>
  <si>
    <t>0165-169</t>
  </si>
  <si>
    <t>0235</t>
  </si>
  <si>
    <t>0128</t>
  </si>
  <si>
    <t>0106</t>
  </si>
  <si>
    <t>0154-156</t>
  </si>
  <si>
    <t>0408</t>
  </si>
  <si>
    <t>0096</t>
  </si>
  <si>
    <t>0357-379</t>
  </si>
  <si>
    <t>0707-709</t>
  </si>
  <si>
    <t>0581-583</t>
  </si>
  <si>
    <t>0066</t>
  </si>
  <si>
    <t>0119-121</t>
  </si>
  <si>
    <t>0349-355</t>
  </si>
  <si>
    <t>0253</t>
  </si>
  <si>
    <t>0026</t>
  </si>
  <si>
    <t>TRACY ST</t>
  </si>
  <si>
    <t>0031</t>
  </si>
  <si>
    <t>0308</t>
  </si>
  <si>
    <t>0298-300</t>
  </si>
  <si>
    <t>0170-174</t>
  </si>
  <si>
    <t>0038-40</t>
  </si>
  <si>
    <t>0083-85</t>
  </si>
  <si>
    <t>HOWELL ST</t>
  </si>
  <si>
    <t>0048-50</t>
  </si>
  <si>
    <t>LAFAYETTE PL</t>
  </si>
  <si>
    <t>0047</t>
  </si>
  <si>
    <t>SAVANNAH ST</t>
  </si>
  <si>
    <t>GARDINER PK</t>
  </si>
  <si>
    <t>0010-10.5</t>
  </si>
  <si>
    <t>0501</t>
  </si>
  <si>
    <t>0039</t>
  </si>
  <si>
    <t>0010</t>
  </si>
  <si>
    <t>SIBLEY PL</t>
  </si>
  <si>
    <t>0718</t>
  </si>
  <si>
    <t>0376-378</t>
  </si>
  <si>
    <t>0033</t>
  </si>
  <si>
    <t>PEARL ST</t>
  </si>
  <si>
    <t>0415</t>
  </si>
  <si>
    <t>0241</t>
  </si>
  <si>
    <t>0182-186</t>
  </si>
  <si>
    <t>0126</t>
  </si>
  <si>
    <t>0268</t>
  </si>
  <si>
    <t>0002-2.5</t>
  </si>
  <si>
    <t>LINWOOD PL</t>
  </si>
  <si>
    <t>0633-639</t>
  </si>
  <si>
    <t>0370-370.5</t>
  </si>
  <si>
    <t>0226-228</t>
  </si>
  <si>
    <t>PRIEM ST</t>
  </si>
  <si>
    <t>0200</t>
  </si>
  <si>
    <t>0320</t>
  </si>
  <si>
    <t>0261</t>
  </si>
  <si>
    <t>0032</t>
  </si>
  <si>
    <t>0439</t>
  </si>
  <si>
    <t>0005</t>
  </si>
  <si>
    <t>0067-71</t>
  </si>
  <si>
    <t>0077-79</t>
  </si>
  <si>
    <t>0112-114</t>
  </si>
  <si>
    <t>0395</t>
  </si>
  <si>
    <t>0225</t>
  </si>
  <si>
    <t>0272</t>
  </si>
  <si>
    <t>0016</t>
  </si>
  <si>
    <t>0068</t>
  </si>
  <si>
    <t>0018</t>
  </si>
  <si>
    <t>0006-6.5</t>
  </si>
  <si>
    <t>0315</t>
  </si>
  <si>
    <t>0748</t>
  </si>
  <si>
    <t>0769</t>
  </si>
  <si>
    <t>SELDEN ST</t>
  </si>
  <si>
    <t>0100</t>
  </si>
  <si>
    <t>0373</t>
  </si>
  <si>
    <t>0022</t>
  </si>
  <si>
    <t>BUENA PL</t>
  </si>
  <si>
    <t>0161</t>
  </si>
  <si>
    <t>0062</t>
  </si>
  <si>
    <t>0219</t>
  </si>
  <si>
    <t>0100-112</t>
  </si>
  <si>
    <t>0147-149.5</t>
  </si>
  <si>
    <t>0302-0316</t>
  </si>
  <si>
    <t>0397</t>
  </si>
  <si>
    <t>0407</t>
  </si>
  <si>
    <t>0023</t>
  </si>
  <si>
    <t>0088</t>
  </si>
  <si>
    <t>0165</t>
  </si>
  <si>
    <t>0003-5</t>
  </si>
  <si>
    <t>0013</t>
  </si>
  <si>
    <t>0301</t>
  </si>
  <si>
    <t>0168</t>
  </si>
  <si>
    <t>0372-372.5</t>
  </si>
  <si>
    <t>0310</t>
  </si>
  <si>
    <t>0076</t>
  </si>
  <si>
    <t>0078</t>
  </si>
  <si>
    <t>0037</t>
  </si>
  <si>
    <t>EAST END WAY</t>
  </si>
  <si>
    <t>0250-254</t>
  </si>
  <si>
    <t>0230</t>
  </si>
  <si>
    <t>0010-6</t>
  </si>
  <si>
    <t>0010-4</t>
  </si>
  <si>
    <t>0349-351</t>
  </si>
  <si>
    <t>0673</t>
  </si>
  <si>
    <t>0282</t>
  </si>
  <si>
    <t>0240</t>
  </si>
  <si>
    <t>0056</t>
  </si>
  <si>
    <t>0287-289</t>
  </si>
  <si>
    <t>0154</t>
  </si>
  <si>
    <t>S CLINTON AV</t>
  </si>
  <si>
    <t>0267</t>
  </si>
  <si>
    <t>0399</t>
  </si>
  <si>
    <t>0338</t>
  </si>
  <si>
    <t>0494</t>
  </si>
  <si>
    <t>0041</t>
  </si>
  <si>
    <t>0020</t>
  </si>
  <si>
    <t>0143-145</t>
  </si>
  <si>
    <t>0147</t>
  </si>
  <si>
    <t>SWAN ST</t>
  </si>
  <si>
    <t>0122</t>
  </si>
  <si>
    <t>0030</t>
  </si>
  <si>
    <t>0309</t>
  </si>
  <si>
    <t>0722</t>
  </si>
  <si>
    <t>0397-UN18</t>
  </si>
  <si>
    <t>UN18</t>
  </si>
  <si>
    <t>RYAN AL</t>
  </si>
  <si>
    <t>0475</t>
  </si>
  <si>
    <t>E BROAD ST</t>
  </si>
  <si>
    <t>0344</t>
  </si>
  <si>
    <t>0286</t>
  </si>
  <si>
    <t>0054</t>
  </si>
  <si>
    <t>0048</t>
  </si>
  <si>
    <t>0097</t>
  </si>
  <si>
    <t>0236-238</t>
  </si>
  <si>
    <t>0006</t>
  </si>
  <si>
    <t>0042</t>
  </si>
  <si>
    <t>0089</t>
  </si>
  <si>
    <t>0092</t>
  </si>
  <si>
    <t>0431</t>
  </si>
  <si>
    <t>0143</t>
  </si>
  <si>
    <t>0085</t>
  </si>
  <si>
    <t>0440</t>
  </si>
  <si>
    <t>0049-51</t>
  </si>
  <si>
    <t>0141</t>
  </si>
  <si>
    <t>0082</t>
  </si>
  <si>
    <t>0418</t>
  </si>
  <si>
    <t>0180</t>
  </si>
  <si>
    <t>0001</t>
  </si>
  <si>
    <t>MANHATTAN SQ DR</t>
  </si>
  <si>
    <t>0546-556</t>
  </si>
  <si>
    <t>0233</t>
  </si>
  <si>
    <t>0170-176</t>
  </si>
  <si>
    <t>0362</t>
  </si>
  <si>
    <t>0208-210</t>
  </si>
  <si>
    <t>0036-38</t>
  </si>
  <si>
    <t>0025</t>
  </si>
  <si>
    <t>0294-300</t>
  </si>
  <si>
    <t>0040</t>
  </si>
  <si>
    <t>DENNING ST</t>
  </si>
  <si>
    <t>0368-370</t>
  </si>
  <si>
    <t>0400</t>
  </si>
  <si>
    <t>0070</t>
  </si>
  <si>
    <t>0401</t>
  </si>
  <si>
    <t>0645</t>
  </si>
  <si>
    <t>0034-36</t>
  </si>
  <si>
    <t>0111</t>
  </si>
  <si>
    <t>0350-UN04</t>
  </si>
  <si>
    <t>UN04</t>
  </si>
  <si>
    <t>0068-72</t>
  </si>
  <si>
    <t>0057</t>
  </si>
  <si>
    <t>0017-19</t>
  </si>
  <si>
    <t>0052</t>
  </si>
  <si>
    <t>0191-0201</t>
  </si>
  <si>
    <t>0201</t>
  </si>
  <si>
    <t>0681-685</t>
  </si>
  <si>
    <t>0117</t>
  </si>
  <si>
    <t>0381</t>
  </si>
  <si>
    <t>0209</t>
  </si>
  <si>
    <t>0417</t>
  </si>
  <si>
    <t>0060</t>
  </si>
  <si>
    <t>0392</t>
  </si>
  <si>
    <t>0427</t>
  </si>
  <si>
    <t>0230-250</t>
  </si>
  <si>
    <t>0350</t>
  </si>
  <si>
    <t>0397-UN13</t>
  </si>
  <si>
    <t>UN13</t>
  </si>
  <si>
    <t>0044</t>
  </si>
  <si>
    <t>0247</t>
  </si>
  <si>
    <t>0229</t>
  </si>
  <si>
    <t>0245</t>
  </si>
  <si>
    <t>0740</t>
  </si>
  <si>
    <t>0485</t>
  </si>
  <si>
    <t>0046-48</t>
  </si>
  <si>
    <t>0153</t>
  </si>
  <si>
    <t>0400-404</t>
  </si>
  <si>
    <t>0201-203</t>
  </si>
  <si>
    <t>0302</t>
  </si>
  <si>
    <t>0010-7</t>
  </si>
  <si>
    <t>0003</t>
  </si>
  <si>
    <t>0115</t>
  </si>
  <si>
    <t>0027</t>
  </si>
  <si>
    <t>0359-369</t>
  </si>
  <si>
    <t>ANSON PL</t>
  </si>
  <si>
    <t>0277-279</t>
  </si>
  <si>
    <t>0021-23</t>
  </si>
  <si>
    <t>0364-370</t>
  </si>
  <si>
    <t>0324-328</t>
  </si>
  <si>
    <t>0291</t>
  </si>
  <si>
    <t>0127</t>
  </si>
  <si>
    <t>0345</t>
  </si>
  <si>
    <t>0185</t>
  </si>
  <si>
    <t>0125</t>
  </si>
  <si>
    <t>0355-365</t>
  </si>
  <si>
    <t>0074-76</t>
  </si>
  <si>
    <t>0653</t>
  </si>
  <si>
    <t>0038</t>
  </si>
  <si>
    <t>0329</t>
  </si>
  <si>
    <t>0079-79.5</t>
  </si>
  <si>
    <t>0231</t>
  </si>
  <si>
    <t>0383</t>
  </si>
  <si>
    <t>0145</t>
  </si>
  <si>
    <t>0296</t>
  </si>
  <si>
    <t>0258-264</t>
  </si>
  <si>
    <t>0030-32</t>
  </si>
  <si>
    <t>0142</t>
  </si>
  <si>
    <t>0366-366.5</t>
  </si>
  <si>
    <t>0705-707</t>
  </si>
  <si>
    <t>0568-580</t>
  </si>
  <si>
    <t>0352-354</t>
  </si>
  <si>
    <t>0071-73</t>
  </si>
  <si>
    <t>0333</t>
  </si>
  <si>
    <t>0288-292</t>
  </si>
  <si>
    <t>0297</t>
  </si>
  <si>
    <t>0028</t>
  </si>
  <si>
    <t>0072</t>
  </si>
  <si>
    <t>0254</t>
  </si>
  <si>
    <t>0026-26.5</t>
  </si>
  <si>
    <t>0018-20</t>
  </si>
  <si>
    <t>0221</t>
  </si>
  <si>
    <t>0445</t>
  </si>
  <si>
    <t>0430</t>
  </si>
  <si>
    <t>0028-30</t>
  </si>
  <si>
    <t>0288</t>
  </si>
  <si>
    <t>0036</t>
  </si>
  <si>
    <t>0064-68</t>
  </si>
  <si>
    <t>0386</t>
  </si>
  <si>
    <t>0189</t>
  </si>
  <si>
    <t>0008</t>
  </si>
  <si>
    <t>CHAPMAN AL</t>
  </si>
  <si>
    <t>0495</t>
  </si>
  <si>
    <t>0756</t>
  </si>
  <si>
    <t>0500</t>
  </si>
  <si>
    <t>0314</t>
  </si>
  <si>
    <t>0691</t>
  </si>
  <si>
    <t>0218-224</t>
  </si>
  <si>
    <t>0045</t>
  </si>
  <si>
    <t>0159</t>
  </si>
  <si>
    <t>0081</t>
  </si>
  <si>
    <t>0289</t>
  </si>
  <si>
    <t>0468-470</t>
  </si>
  <si>
    <t>0395-UN12</t>
  </si>
  <si>
    <t>UN12</t>
  </si>
  <si>
    <t>0397-UN19</t>
  </si>
  <si>
    <t>UN19</t>
  </si>
  <si>
    <t>0397-399</t>
  </si>
  <si>
    <t>0048-58</t>
  </si>
  <si>
    <t>0414</t>
  </si>
  <si>
    <t>0099</t>
  </si>
  <si>
    <t>0012</t>
  </si>
  <si>
    <t>0312</t>
  </si>
  <si>
    <t>0010-3</t>
  </si>
  <si>
    <t>0213-219</t>
  </si>
  <si>
    <t>0069</t>
  </si>
  <si>
    <t>0004</t>
  </si>
  <si>
    <t>0441</t>
  </si>
  <si>
    <t>0337-339</t>
  </si>
  <si>
    <t>0226</t>
  </si>
  <si>
    <t>0040-52</t>
  </si>
  <si>
    <t>0315-317</t>
  </si>
  <si>
    <t>0051-57</t>
  </si>
  <si>
    <t>0350-UN02</t>
  </si>
  <si>
    <t>UN02</t>
  </si>
  <si>
    <t>0433-453</t>
  </si>
  <si>
    <t>0251-257</t>
  </si>
  <si>
    <t>0422-432</t>
  </si>
  <si>
    <t>0119</t>
  </si>
  <si>
    <t>0693</t>
  </si>
  <si>
    <t>0295</t>
  </si>
  <si>
    <t>0350-UN01</t>
  </si>
  <si>
    <t>UN01</t>
  </si>
  <si>
    <t>0442</t>
  </si>
  <si>
    <t>0391</t>
  </si>
  <si>
    <t>0208</t>
  </si>
  <si>
    <t>0413</t>
  </si>
  <si>
    <t>0109</t>
  </si>
  <si>
    <t>0449</t>
  </si>
  <si>
    <t>0176-178</t>
  </si>
  <si>
    <t>0285</t>
  </si>
  <si>
    <t>0188-190</t>
  </si>
  <si>
    <t>0242-248</t>
  </si>
  <si>
    <t>0077</t>
  </si>
  <si>
    <t>0117-119</t>
  </si>
  <si>
    <t>0083</t>
  </si>
  <si>
    <t>0360</t>
  </si>
  <si>
    <t>0405</t>
  </si>
  <si>
    <t>0515-525</t>
  </si>
  <si>
    <t>PITKIN ST</t>
  </si>
  <si>
    <t>0269</t>
  </si>
  <si>
    <t>0090-92</t>
  </si>
  <si>
    <t>0065</t>
  </si>
  <si>
    <t>0248-250</t>
  </si>
  <si>
    <t>0347</t>
  </si>
  <si>
    <t>0485-495</t>
  </si>
  <si>
    <t>0009</t>
  </si>
  <si>
    <t>0055</t>
  </si>
  <si>
    <t>0190-194</t>
  </si>
  <si>
    <t>0397-UN14</t>
  </si>
  <si>
    <t>UN14</t>
  </si>
  <si>
    <t>0454</t>
  </si>
  <si>
    <t>0536-542</t>
  </si>
  <si>
    <t>0105</t>
  </si>
  <si>
    <t>0029-33</t>
  </si>
  <si>
    <t>0062-64</t>
  </si>
  <si>
    <t>0261-263</t>
  </si>
  <si>
    <t>0275-277</t>
  </si>
  <si>
    <t>0010-1</t>
  </si>
  <si>
    <t>0393</t>
  </si>
  <si>
    <t>0364-364.5</t>
  </si>
  <si>
    <t>0109-115</t>
  </si>
  <si>
    <t>0368-368.5</t>
  </si>
  <si>
    <t>0158</t>
  </si>
  <si>
    <t>0130-152</t>
  </si>
  <si>
    <t>0705</t>
  </si>
  <si>
    <t>0270</t>
  </si>
  <si>
    <t>0093</t>
  </si>
  <si>
    <t>0101-105</t>
  </si>
  <si>
    <t>0115-117</t>
  </si>
  <si>
    <t>0378</t>
  </si>
  <si>
    <t>0325</t>
  </si>
  <si>
    <t>0140.5</t>
  </si>
  <si>
    <t>KENILWORTH TER</t>
  </si>
  <si>
    <t>0074</t>
  </si>
  <si>
    <t>0100-104</t>
  </si>
  <si>
    <t>0023-25</t>
  </si>
  <si>
    <t>0266-272</t>
  </si>
  <si>
    <t>0328</t>
  </si>
  <si>
    <t>0342</t>
  </si>
  <si>
    <t>0157</t>
  </si>
  <si>
    <t>0079</t>
  </si>
  <si>
    <t>0516-522</t>
  </si>
  <si>
    <t>0094-104</t>
  </si>
  <si>
    <t>0349</t>
  </si>
  <si>
    <t>0194-198</t>
  </si>
  <si>
    <t>0050</t>
  </si>
  <si>
    <t>0067</t>
  </si>
  <si>
    <t>0357</t>
  </si>
  <si>
    <t>0020-24</t>
  </si>
  <si>
    <t>0273</t>
  </si>
  <si>
    <t>0274</t>
  </si>
  <si>
    <t>0026-28</t>
  </si>
  <si>
    <t>0220-224</t>
  </si>
  <si>
    <t>0350-UN03</t>
  </si>
  <si>
    <t>UN03</t>
  </si>
  <si>
    <t>0355-357</t>
  </si>
  <si>
    <t>0015-17</t>
  </si>
  <si>
    <t>0207-209</t>
  </si>
  <si>
    <t>0163</t>
  </si>
  <si>
    <t>0270-270.5</t>
  </si>
  <si>
    <t>0384</t>
  </si>
  <si>
    <t>0014-16</t>
  </si>
  <si>
    <t>0397-UN15</t>
  </si>
  <si>
    <t>UN15</t>
  </si>
  <si>
    <t>0385</t>
  </si>
  <si>
    <t>0336-340</t>
  </si>
  <si>
    <t>0114-118</t>
  </si>
  <si>
    <t>0196-200</t>
  </si>
  <si>
    <t>0017-21</t>
  </si>
  <si>
    <t>0055-59</t>
  </si>
  <si>
    <t>0008.5</t>
  </si>
  <si>
    <t>0371</t>
  </si>
  <si>
    <t>0334</t>
  </si>
  <si>
    <t>0511</t>
  </si>
  <si>
    <t>0032-34</t>
  </si>
  <si>
    <t>0376-376.5</t>
  </si>
  <si>
    <t>0409</t>
  </si>
  <si>
    <t>0030-54</t>
  </si>
  <si>
    <t>0204-208</t>
  </si>
  <si>
    <t>0061</t>
  </si>
  <si>
    <t>0199-201</t>
  </si>
  <si>
    <t>0360-362</t>
  </si>
  <si>
    <t>0361</t>
  </si>
  <si>
    <t>0423</t>
  </si>
  <si>
    <t>0687</t>
  </si>
  <si>
    <t>0675</t>
  </si>
  <si>
    <t>0440-0454</t>
  </si>
  <si>
    <t>0480</t>
  </si>
  <si>
    <t>0138</t>
  </si>
  <si>
    <t>0072-76</t>
  </si>
  <si>
    <t>0699</t>
  </si>
  <si>
    <t>0650-672</t>
  </si>
  <si>
    <t>0271</t>
  </si>
  <si>
    <t>0140</t>
  </si>
  <si>
    <t>0411</t>
  </si>
  <si>
    <t>0153-155</t>
  </si>
  <si>
    <t>0250</t>
  </si>
  <si>
    <t>0419</t>
  </si>
  <si>
    <t>0701</t>
  </si>
  <si>
    <t>0133-137</t>
  </si>
  <si>
    <t>0205-0215</t>
  </si>
  <si>
    <t>0215</t>
  </si>
  <si>
    <t>0375-375.5</t>
  </si>
  <si>
    <t>0276</t>
  </si>
  <si>
    <t>0194</t>
  </si>
  <si>
    <t>0042-44</t>
  </si>
  <si>
    <t>0075-77</t>
  </si>
  <si>
    <t>0333-351</t>
  </si>
  <si>
    <t>0387</t>
  </si>
  <si>
    <t>0460</t>
  </si>
  <si>
    <t>0175</t>
  </si>
  <si>
    <t>0307</t>
  </si>
  <si>
    <t>0353</t>
  </si>
  <si>
    <t>COURT ST</t>
  </si>
  <si>
    <t>0265</t>
  </si>
  <si>
    <t>0322</t>
  </si>
  <si>
    <t>0049</t>
  </si>
  <si>
    <t>0101</t>
  </si>
  <si>
    <t>LAWN ST</t>
  </si>
  <si>
    <t>0198</t>
  </si>
  <si>
    <t>0201-205</t>
  </si>
  <si>
    <t>0212</t>
  </si>
  <si>
    <t>0732-734</t>
  </si>
  <si>
    <t>0246-246.5</t>
  </si>
  <si>
    <t>0068-70</t>
  </si>
  <si>
    <t>0123-125</t>
  </si>
  <si>
    <t>0053</t>
  </si>
  <si>
    <t>0421</t>
  </si>
  <si>
    <t>0310.5</t>
  </si>
  <si>
    <t>0366-UN07</t>
  </si>
  <si>
    <t>UN07</t>
  </si>
  <si>
    <t>0770</t>
  </si>
  <si>
    <t>0281</t>
  </si>
  <si>
    <t>0070-70.5</t>
  </si>
  <si>
    <t>0331-333</t>
  </si>
  <si>
    <t>0234</t>
  </si>
  <si>
    <t>0084</t>
  </si>
  <si>
    <t>0243</t>
  </si>
  <si>
    <t>0480-488</t>
  </si>
  <si>
    <t>0280-282</t>
  </si>
  <si>
    <t>0010-2</t>
  </si>
  <si>
    <t>0133</t>
  </si>
  <si>
    <t>0731-739</t>
  </si>
  <si>
    <t>0337-341</t>
  </si>
  <si>
    <t>0287</t>
  </si>
  <si>
    <t>0395-UN11</t>
  </si>
  <si>
    <t>UN11</t>
  </si>
  <si>
    <t>0010-18</t>
  </si>
  <si>
    <t>0397-UN16</t>
  </si>
  <si>
    <t>UN16</t>
  </si>
  <si>
    <t>0458</t>
  </si>
  <si>
    <t>0255</t>
  </si>
  <si>
    <t>0186-190</t>
  </si>
  <si>
    <t>0389</t>
  </si>
  <si>
    <t>0087</t>
  </si>
  <si>
    <t>0298</t>
  </si>
  <si>
    <t>0435</t>
  </si>
  <si>
    <t>0010-8</t>
  </si>
  <si>
    <t>0010-5</t>
  </si>
  <si>
    <t>0665</t>
  </si>
  <si>
    <t>0321</t>
  </si>
  <si>
    <t>0022-24</t>
  </si>
  <si>
    <t>0379</t>
  </si>
  <si>
    <t>0256</t>
  </si>
  <si>
    <t>0123</t>
  </si>
  <si>
    <t>0424-426</t>
  </si>
  <si>
    <t>0146</t>
  </si>
  <si>
    <t>0171-183</t>
  </si>
  <si>
    <t>0259</t>
  </si>
  <si>
    <t>0266</t>
  </si>
  <si>
    <t>0009-9.5</t>
  </si>
  <si>
    <t>0264</t>
  </si>
  <si>
    <t>0158-162</t>
  </si>
  <si>
    <t>0054-60</t>
  </si>
  <si>
    <t>0179</t>
  </si>
  <si>
    <t>0330-334</t>
  </si>
  <si>
    <t>0436</t>
  </si>
  <si>
    <t>0240-246</t>
  </si>
  <si>
    <t>0009-11</t>
  </si>
  <si>
    <t>0073</t>
  </si>
  <si>
    <t>0700</t>
  </si>
  <si>
    <t>0104</t>
  </si>
  <si>
    <t>0374-374.5</t>
  </si>
  <si>
    <t>0182</t>
  </si>
  <si>
    <t>0150-152</t>
  </si>
  <si>
    <t>0101-129</t>
  </si>
  <si>
    <t>0139</t>
  </si>
  <si>
    <t>0280</t>
  </si>
  <si>
    <t>0027-29</t>
  </si>
  <si>
    <t>0011-11.5</t>
  </si>
  <si>
    <t>0217</t>
  </si>
  <si>
    <t>0274-280</t>
  </si>
  <si>
    <t>0330-350</t>
  </si>
  <si>
    <t>0032-36</t>
  </si>
  <si>
    <t>0144</t>
  </si>
  <si>
    <t>0551-559</t>
  </si>
  <si>
    <t>0683</t>
  </si>
  <si>
    <t>0118</t>
  </si>
  <si>
    <t>0094</t>
  </si>
  <si>
    <t>0085-91</t>
  </si>
  <si>
    <t>0058</t>
  </si>
  <si>
    <t>0712</t>
  </si>
  <si>
    <t>0395-UN10</t>
  </si>
  <si>
    <t>UN10</t>
  </si>
  <si>
    <t>0178-182</t>
  </si>
  <si>
    <t>0033-37</t>
  </si>
  <si>
    <t>0292</t>
  </si>
  <si>
    <t>0715</t>
  </si>
  <si>
    <t>0335-335.5</t>
  </si>
  <si>
    <t>0028.5</t>
  </si>
  <si>
    <t>0290-292</t>
  </si>
  <si>
    <t>0047-49</t>
  </si>
  <si>
    <t>0395-UN09</t>
  </si>
  <si>
    <t>UN09</t>
  </si>
  <si>
    <t>0396</t>
  </si>
  <si>
    <t>0137</t>
  </si>
  <si>
    <t>0078-80</t>
  </si>
  <si>
    <t>0151-157</t>
  </si>
  <si>
    <t>0300</t>
  </si>
  <si>
    <t>0223</t>
  </si>
  <si>
    <t>0149</t>
  </si>
  <si>
    <t>0033-35</t>
  </si>
  <si>
    <t>0397-UN17</t>
  </si>
  <si>
    <t>UN17</t>
  </si>
  <si>
    <t>0319-329</t>
  </si>
  <si>
    <t>0366-UN05</t>
  </si>
  <si>
    <t>UN05</t>
  </si>
  <si>
    <t>0110</t>
  </si>
  <si>
    <t>0002-04</t>
  </si>
  <si>
    <t>0171</t>
  </si>
  <si>
    <t>0295-299</t>
  </si>
  <si>
    <t>0382</t>
  </si>
  <si>
    <t>0327</t>
  </si>
  <si>
    <t>0266-270</t>
  </si>
  <si>
    <t>0010-12</t>
  </si>
  <si>
    <t>Total:</t>
  </si>
  <si>
    <t>Real Estate Development Assumptions and Summary</t>
  </si>
  <si>
    <t>Real Estate Program</t>
  </si>
  <si>
    <t>Parking Spaces</t>
  </si>
  <si>
    <t>Per SF of Development</t>
  </si>
  <si>
    <t>Retail</t>
  </si>
  <si>
    <t>Office</t>
  </si>
  <si>
    <t>Residential:</t>
  </si>
  <si>
    <t>Studio</t>
  </si>
  <si>
    <t>One bedroom</t>
  </si>
  <si>
    <t>Two bedroom</t>
  </si>
  <si>
    <t>Three bedroom</t>
  </si>
  <si>
    <t>Townhouse</t>
  </si>
  <si>
    <t>Parking size (SF)</t>
  </si>
  <si>
    <t>325 SF</t>
  </si>
  <si>
    <t>Size (SF)</t>
  </si>
  <si>
    <t>% of Residential SF</t>
  </si>
  <si>
    <t>Net*</t>
  </si>
  <si>
    <t>Gross</t>
  </si>
  <si>
    <t>Rental Unit Type</t>
  </si>
  <si>
    <t>studio</t>
  </si>
  <si>
    <t>For Sale Unit Type</t>
  </si>
  <si>
    <t>n/a</t>
  </si>
  <si>
    <t>*Assumes an efficency factor of 85%</t>
  </si>
  <si>
    <t>Real Estate Product</t>
  </si>
  <si>
    <t>Low</t>
  </si>
  <si>
    <t>High</t>
  </si>
  <si>
    <t>Note</t>
  </si>
  <si>
    <t>Residential For-Sale Units</t>
  </si>
  <si>
    <t>current annual demand</t>
  </si>
  <si>
    <t>Residential Rental Units</t>
  </si>
  <si>
    <t>Office (SF)</t>
  </si>
  <si>
    <t>Retail (SF)</t>
  </si>
  <si>
    <t>Current suppoertable pace</t>
  </si>
  <si>
    <t>Parcel</t>
  </si>
  <si>
    <t>Developable Area</t>
  </si>
  <si>
    <t>Location</t>
  </si>
  <si>
    <t>SF</t>
  </si>
  <si>
    <t>Acres</t>
  </si>
  <si>
    <t>West Side of Union Street Between X and Y</t>
  </si>
  <si>
    <t>Units</t>
  </si>
  <si>
    <t>Scenario One</t>
  </si>
  <si>
    <t>Scenario Two</t>
  </si>
  <si>
    <t>Absorption</t>
  </si>
  <si>
    <t>Avg. Annual Absorption Rate</t>
  </si>
  <si>
    <t>Scenario One Program</t>
  </si>
  <si>
    <t>Absorption (Years)</t>
  </si>
  <si>
    <t>Scenario Two Program</t>
  </si>
  <si>
    <t>Avg. Absorption (Years)</t>
  </si>
  <si>
    <t>Scenario 1</t>
  </si>
  <si>
    <t>Scenario 2</t>
  </si>
  <si>
    <t>% of Total Program</t>
  </si>
  <si>
    <t>Supportable Land Value</t>
  </si>
  <si>
    <t>Real Estate Development Construction Cost Estimates</t>
  </si>
  <si>
    <t>Construction Type</t>
  </si>
  <si>
    <t>Floors</t>
  </si>
  <si>
    <t>Cost</t>
  </si>
  <si>
    <t>Cost/SF</t>
  </si>
  <si>
    <t>Apartment</t>
  </si>
  <si>
    <t>1 to 3</t>
  </si>
  <si>
    <t>4 to 7</t>
  </si>
  <si>
    <t>Office 2</t>
  </si>
  <si>
    <t>2 to 4</t>
  </si>
  <si>
    <t>Store Retail</t>
  </si>
  <si>
    <t>Supermarket</t>
  </si>
  <si>
    <t>per unit</t>
  </si>
  <si>
    <t>per sf</t>
  </si>
  <si>
    <t>Surface Parking</t>
  </si>
  <si>
    <t>Structured Parking</t>
  </si>
  <si>
    <t>Real Estate Development Scenario 1 Summary</t>
  </si>
  <si>
    <t>rental unit mix</t>
  </si>
  <si>
    <t>Site</t>
  </si>
  <si>
    <t>Program</t>
  </si>
  <si>
    <t>Total Land Area</t>
  </si>
  <si>
    <t>Buildable Land Area</t>
  </si>
  <si>
    <t>Unbuildable Land</t>
  </si>
  <si>
    <t>Land use adjustment Factor</t>
  </si>
  <si>
    <t>Assumed Height</t>
  </si>
  <si>
    <t>Total Building Area</t>
  </si>
  <si>
    <t>Density</t>
  </si>
  <si>
    <t>Parking SF</t>
  </si>
  <si>
    <t>Parking Spaces Required</t>
  </si>
  <si>
    <t>Parking Spaces Accomodated</t>
  </si>
  <si>
    <t>1 bed</t>
  </si>
  <si>
    <t>2bed</t>
  </si>
  <si>
    <t>3bed</t>
  </si>
  <si>
    <t>a</t>
  </si>
  <si>
    <t>Resi For Sale</t>
  </si>
  <si>
    <t>included in unit</t>
  </si>
  <si>
    <t>Resi Rental</t>
  </si>
  <si>
    <t>total</t>
  </si>
  <si>
    <t>b</t>
  </si>
  <si>
    <t>c</t>
  </si>
  <si>
    <t>parking spaces</t>
  </si>
  <si>
    <t xml:space="preserve">Parcel </t>
  </si>
  <si>
    <t>Program Size</t>
  </si>
  <si>
    <t>For Sale Residental</t>
  </si>
  <si>
    <t>13 Townhomes</t>
  </si>
  <si>
    <t>Rental Residential</t>
  </si>
  <si>
    <t>Real Estate Development Scenario 1 Residual Land Value Analysis</t>
  </si>
  <si>
    <t>Development SF</t>
  </si>
  <si>
    <t>% of total Development Building SF</t>
  </si>
  <si>
    <t>Vacancy</t>
  </si>
  <si>
    <t>Sale Price ($/sf)</t>
  </si>
  <si>
    <t>Rental Rate ($/sf)</t>
  </si>
  <si>
    <t>Opex as % of Rent</t>
  </si>
  <si>
    <t>Opex ($/SF)</t>
  </si>
  <si>
    <t>NOI ($/SF)</t>
  </si>
  <si>
    <t>Total NOI</t>
  </si>
  <si>
    <t>Development Costs (per SF)</t>
  </si>
  <si>
    <t>Development Costs (Total)</t>
  </si>
  <si>
    <t>Parking Costs</t>
  </si>
  <si>
    <t>Land Costs</t>
  </si>
  <si>
    <t>Total Development Costs</t>
  </si>
  <si>
    <t>Stabilized Year Return</t>
  </si>
  <si>
    <t>Land Value Calculation</t>
  </si>
  <si>
    <t>Anticipated Return</t>
  </si>
  <si>
    <t>Suportable Land Value</t>
  </si>
  <si>
    <t>% of Development Program</t>
  </si>
  <si>
    <t>Weighted Value</t>
  </si>
  <si>
    <t>Total Land Value</t>
  </si>
  <si>
    <t>Real Estate Development Scenario 2 Summary</t>
  </si>
  <si>
    <t>Parking Spaces Accomodated in one level</t>
  </si>
  <si>
    <t>Parking levels</t>
  </si>
  <si>
    <t>Total Parking Accomodated</t>
  </si>
  <si>
    <t>Rental Totals</t>
  </si>
  <si>
    <t>units</t>
  </si>
  <si>
    <t>Real Estate Development Scenario 2 Residual Land Value Analysis</t>
  </si>
  <si>
    <t>% of Total Development Building SF</t>
  </si>
  <si>
    <t>Assumptions</t>
  </si>
  <si>
    <t>CPI Data</t>
  </si>
  <si>
    <t>Land Value Assumptions</t>
  </si>
  <si>
    <t>Project Summary</t>
  </si>
  <si>
    <t>BCA Ratio</t>
  </si>
  <si>
    <t>Job Creation</t>
  </si>
  <si>
    <t>Project Costs</t>
  </si>
  <si>
    <t>Project Costs by Quarter</t>
  </si>
  <si>
    <t>No Build Maintenance</t>
  </si>
  <si>
    <t>Development Assumptions &amp; Summary</t>
  </si>
  <si>
    <t>Development Costs</t>
  </si>
  <si>
    <t>Development Program Option 1</t>
  </si>
  <si>
    <t>Scenario 1 Pro Forma</t>
  </si>
  <si>
    <t>Development Program Option 2</t>
  </si>
  <si>
    <t>Scenario 2 Pro Forma</t>
  </si>
  <si>
    <t>Costs Summary</t>
  </si>
  <si>
    <t>Construction Costs Summary</t>
  </si>
  <si>
    <t>Maintenance Costs Summary</t>
  </si>
  <si>
    <t>Cost and Funding Summary</t>
  </si>
  <si>
    <t>Benefits and Costs Summary</t>
  </si>
  <si>
    <t>Detailed Project and Maintenance Costs</t>
  </si>
  <si>
    <t>Land Value Increases Detail</t>
  </si>
  <si>
    <t>Calculation of Increase in Value of Existing Parcels</t>
  </si>
  <si>
    <t>Workbook Table of Contents</t>
  </si>
  <si>
    <t>Safety Benefits Calculation</t>
  </si>
  <si>
    <t>pp. 8, 14-15</t>
  </si>
  <si>
    <t>pp. 12, 15</t>
  </si>
  <si>
    <t>pp. 11-12</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</si>
</sst>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0.00000"/>
    <numFmt numFmtId="169" formatCode="0.0"/>
    <numFmt numFmtId="170" formatCode="#0.0"/>
    <numFmt numFmtId="171" formatCode="#0.000"/>
    <numFmt numFmtId="172" formatCode="#0"/>
    <numFmt numFmtId="173" formatCode="#,##0.000"/>
    <numFmt numFmtId="174" formatCode="_(* #,##0.0_);_(* \(#,##0.0\);_(* &quot;-&quot;??_);_(@_)"/>
    <numFmt numFmtId="175" formatCode="_(* #,##0.000_);_(* \(#,##0.000\);_(* &quot;-&quot;??_);_(@_)"/>
    <numFmt numFmtId="176" formatCode="0.0%"/>
  </numFmts>
  <fonts count="68"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11"/>
      <color theme="1"/>
      <name val="Tw Cen MT"/>
      <family val="2"/>
    </font>
    <font>
      <b/>
      <sz val="11"/>
      <color theme="3"/>
      <name val="Tw Cen MT"/>
      <family val="2"/>
    </font>
    <font>
      <sz val="11"/>
      <color theme="1"/>
      <name val="Tw Cen MT"/>
      <family val="2"/>
    </font>
    <font>
      <sz val="10"/>
      <color theme="1"/>
      <name val="Tw Cen MT"/>
      <family val="2"/>
    </font>
    <font>
      <sz val="10"/>
      <color rgb="FFFF0000"/>
      <name val="Tw Cen MT"/>
      <family val="2"/>
    </font>
    <font>
      <sz val="10"/>
      <name val="Tw Cen MT"/>
      <family val="2"/>
    </font>
    <font>
      <b/>
      <sz val="10"/>
      <color theme="1"/>
      <name val="Tw Cen MT"/>
      <family val="2"/>
    </font>
    <font>
      <b/>
      <sz val="10"/>
      <color rgb="FFFF0000"/>
      <name val="Tw Cen MT"/>
      <family val="2"/>
    </font>
    <font>
      <b/>
      <sz val="10"/>
      <name val="Tw Cen MT"/>
      <family val="2"/>
    </font>
    <font>
      <u/>
      <sz val="10"/>
      <name val="Tw Cen MT"/>
      <family val="2"/>
    </font>
    <font>
      <i/>
      <sz val="10"/>
      <name val="Tw Cen MT"/>
      <family val="2"/>
    </font>
    <font>
      <b/>
      <sz val="11"/>
      <color rgb="FFFF0000"/>
      <name val="Tw Cen MT"/>
      <family val="2"/>
    </font>
    <font>
      <b/>
      <sz val="11"/>
      <name val="Tw Cen MT"/>
      <family val="2"/>
    </font>
    <font>
      <sz val="11"/>
      <color rgb="FFFF0000"/>
      <name val="Tw Cen MT"/>
      <family val="2"/>
    </font>
    <font>
      <sz val="11"/>
      <name val="Tw Cen MT"/>
      <family val="2"/>
    </font>
    <font>
      <sz val="8"/>
      <name val="Calibri"/>
      <family val="2"/>
      <scheme val="minor"/>
    </font>
    <font>
      <u/>
      <sz val="11"/>
      <color theme="11"/>
      <name val="Calibri"/>
      <family val="2"/>
      <scheme val="minor"/>
    </font>
    <font>
      <b/>
      <sz val="10"/>
      <color rgb="FF000000"/>
      <name val="Tw Cen MT"/>
      <family val="2"/>
    </font>
    <font>
      <u/>
      <sz val="10"/>
      <color theme="1"/>
      <name val="Tw Cen MT"/>
      <family val="2"/>
    </font>
    <font>
      <i/>
      <sz val="11"/>
      <color theme="1"/>
      <name val="Tw Cen MT"/>
      <family val="2"/>
    </font>
    <font>
      <b/>
      <sz val="11"/>
      <color theme="0"/>
      <name val="Tw Cen MT"/>
      <family val="2"/>
    </font>
    <font>
      <i/>
      <sz val="9"/>
      <color theme="1"/>
      <name val="Tw Cen MT"/>
      <family val="2"/>
    </font>
    <font>
      <sz val="9"/>
      <color theme="1"/>
      <name val="Tw Cen MT"/>
      <family val="2"/>
    </font>
    <font>
      <i/>
      <u/>
      <sz val="10"/>
      <color theme="1"/>
      <name val="Tw Cen MT"/>
      <family val="2"/>
    </font>
    <font>
      <sz val="10"/>
      <color rgb="FF000000"/>
      <name val="Tw Cen MT"/>
      <family val="2"/>
    </font>
    <font>
      <sz val="11"/>
      <color rgb="FF000000"/>
      <name val="Tw Cen MT"/>
      <family val="2"/>
    </font>
    <font>
      <b/>
      <sz val="9.5"/>
      <color theme="0"/>
      <name val="Tw Cen MT"/>
      <family val="2"/>
    </font>
    <font>
      <sz val="9.5"/>
      <name val="Tw Cen MT"/>
      <family val="2"/>
    </font>
    <font>
      <i/>
      <sz val="10"/>
      <color theme="1"/>
      <name val="Tw Cen MT"/>
      <family val="2"/>
    </font>
    <font>
      <sz val="9.5"/>
      <color theme="1"/>
      <name val="Tw Cen MT"/>
      <family val="2"/>
    </font>
    <font>
      <sz val="9"/>
      <color rgb="FFFF0000"/>
      <name val="Tw Cen MT"/>
      <family val="2"/>
    </font>
    <font>
      <b/>
      <sz val="9"/>
      <color theme="0"/>
      <name val="Tw Cen MT"/>
      <family val="2"/>
    </font>
    <font>
      <sz val="9"/>
      <name val="Tw Cen MT"/>
      <family val="2"/>
    </font>
    <font>
      <b/>
      <sz val="9"/>
      <name val="Tw Cen MT"/>
      <family val="2"/>
    </font>
    <font>
      <b/>
      <sz val="8.5"/>
      <color theme="0"/>
      <name val="Tw Cen MT"/>
      <family val="2"/>
    </font>
    <font>
      <sz val="8.5"/>
      <color theme="0"/>
      <name val="Tw Cen MT"/>
      <family val="2"/>
    </font>
    <font>
      <sz val="8.5"/>
      <name val="Tw Cen MT"/>
      <family val="2"/>
    </font>
    <font>
      <b/>
      <sz val="8.5"/>
      <name val="Tw Cen MT"/>
      <family val="2"/>
    </font>
    <font>
      <b/>
      <sz val="8.5"/>
      <color rgb="FFFF0000"/>
      <name val="Tw Cen MT"/>
      <family val="2"/>
    </font>
    <font>
      <sz val="8.5"/>
      <color rgb="FFFF0000"/>
      <name val="Tw Cen MT"/>
      <family val="2"/>
    </font>
    <font>
      <u/>
      <sz val="8.5"/>
      <color rgb="FFFF0000"/>
      <name val="Tw Cen MT"/>
      <family val="2"/>
    </font>
    <font>
      <sz val="8.5"/>
      <color theme="3"/>
      <name val="Tw Cen MT"/>
      <family val="2"/>
    </font>
    <font>
      <b/>
      <u/>
      <sz val="8.5"/>
      <name val="Tw Cen MT"/>
      <family val="2"/>
    </font>
    <font>
      <i/>
      <sz val="8.5"/>
      <name val="Tw Cen MT"/>
      <family val="2"/>
    </font>
    <font>
      <u/>
      <sz val="8.5"/>
      <name val="Tw Cen MT"/>
      <family val="2"/>
    </font>
    <font>
      <sz val="8.5"/>
      <color theme="1"/>
      <name val="Tw Cen MT"/>
      <family val="2"/>
    </font>
    <font>
      <u/>
      <sz val="8.5"/>
      <color theme="1"/>
      <name val="Tw Cen MT"/>
      <family val="2"/>
    </font>
    <font>
      <u/>
      <sz val="10"/>
      <color rgb="FF000000"/>
      <name val="Tw Cen MT"/>
      <family val="2"/>
    </font>
    <font>
      <sz val="8"/>
      <name val="Tw Cen MT"/>
      <family val="2"/>
    </font>
    <font>
      <b/>
      <sz val="8"/>
      <name val="Tw Cen MT"/>
      <family val="2"/>
    </font>
    <font>
      <sz val="7"/>
      <name val="Tw Cen MT"/>
      <family val="2"/>
    </font>
    <font>
      <b/>
      <sz val="11"/>
      <color theme="1"/>
      <name val="Calibri"/>
      <family val="2"/>
      <scheme val="minor"/>
    </font>
    <font>
      <b/>
      <u/>
      <sz val="11"/>
      <color theme="1"/>
      <name val="Tw Cen MT"/>
      <family val="2"/>
    </font>
    <font>
      <i/>
      <u/>
      <sz val="11"/>
      <color theme="1"/>
      <name val="Tw Cen MT"/>
      <family val="2"/>
    </font>
    <font>
      <u/>
      <sz val="11"/>
      <color theme="1"/>
      <name val="Tw Cen MT"/>
      <family val="2"/>
    </font>
    <font>
      <i/>
      <u val="singleAccounting"/>
      <sz val="11"/>
      <color theme="1"/>
      <name val="Tw Cen MT"/>
      <family val="2"/>
    </font>
    <font>
      <b/>
      <i/>
      <u/>
      <sz val="11"/>
      <color theme="1"/>
      <name val="Tw Cen MT"/>
      <family val="2"/>
    </font>
    <font>
      <sz val="11"/>
      <color rgb="FF0070C0"/>
      <name val="Tw Cen MT"/>
      <family val="2"/>
    </font>
    <font>
      <b/>
      <u/>
      <sz val="11"/>
      <color rgb="FF0070C0"/>
      <name val="Tw Cen MT"/>
      <family val="2"/>
    </font>
    <font>
      <u val="singleAccounting"/>
      <sz val="11"/>
      <color theme="1"/>
      <name val="Tw Cen MT"/>
      <family val="2"/>
    </font>
    <font>
      <sz val="11"/>
      <color rgb="FF00B0F0"/>
      <name val="Tw Cen MT"/>
      <family val="2"/>
    </font>
    <font>
      <b/>
      <sz val="12"/>
      <color indexed="8"/>
      <name val="Tw Cen MT"/>
      <family val="2"/>
    </font>
    <font>
      <b/>
      <sz val="10"/>
      <color indexed="8"/>
      <name val="Tw Cen MT"/>
      <family val="2"/>
    </font>
    <font>
      <sz val="10"/>
      <color indexed="8"/>
      <name val="Tw Cen MT"/>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9.9978637043366805E-2"/>
        <bgColor indexed="64"/>
      </patternFill>
    </fill>
  </fills>
  <borders count="45">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ck">
        <color indexed="8"/>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633">
    <xf numFmtId="0" fontId="0" fillId="0" borderId="0" xfId="0"/>
    <xf numFmtId="0" fontId="0" fillId="0" borderId="0" xfId="0" applyBorder="1"/>
    <xf numFmtId="0" fontId="5" fillId="0" borderId="0" xfId="0" applyFont="1"/>
    <xf numFmtId="0" fontId="6" fillId="0" borderId="0" xfId="0" applyFont="1"/>
    <xf numFmtId="0" fontId="9" fillId="0" borderId="0" xfId="0" applyFont="1" applyFill="1" applyBorder="1"/>
    <xf numFmtId="0" fontId="11" fillId="0" borderId="0" xfId="0" applyFont="1" applyFill="1" applyBorder="1"/>
    <xf numFmtId="0" fontId="8" fillId="0" borderId="0" xfId="0" applyFont="1" applyFill="1" applyBorder="1"/>
    <xf numFmtId="0" fontId="11" fillId="0" borderId="0" xfId="0" applyFont="1" applyFill="1" applyBorder="1" applyAlignment="1">
      <alignment wrapText="1"/>
    </xf>
    <xf numFmtId="0" fontId="15" fillId="0" borderId="0" xfId="0" applyFont="1" applyFill="1" applyBorder="1"/>
    <xf numFmtId="0" fontId="6" fillId="0" borderId="2" xfId="0" applyFont="1" applyBorder="1"/>
    <xf numFmtId="0" fontId="17" fillId="0" borderId="0" xfId="0" applyFont="1"/>
    <xf numFmtId="0" fontId="18" fillId="0" borderId="0" xfId="0" applyFont="1"/>
    <xf numFmtId="0" fontId="4" fillId="0" borderId="2" xfId="0" applyFont="1" applyBorder="1"/>
    <xf numFmtId="0" fontId="6" fillId="0" borderId="0" xfId="0" applyFont="1" applyBorder="1"/>
    <xf numFmtId="0" fontId="18" fillId="0" borderId="2" xfId="0" applyFont="1" applyBorder="1"/>
    <xf numFmtId="164" fontId="18" fillId="0" borderId="2" xfId="2" applyNumberFormat="1" applyFont="1" applyFill="1" applyBorder="1"/>
    <xf numFmtId="0" fontId="18" fillId="0" borderId="0" xfId="0" applyFont="1" applyBorder="1"/>
    <xf numFmtId="0" fontId="6" fillId="0" borderId="0" xfId="0" applyFont="1" applyAlignment="1">
      <alignment wrapText="1"/>
    </xf>
    <xf numFmtId="166" fontId="18" fillId="0" borderId="0" xfId="1" applyNumberFormat="1" applyFont="1" applyBorder="1"/>
    <xf numFmtId="0" fontId="16" fillId="0" borderId="2" xfId="0" applyFont="1" applyBorder="1"/>
    <xf numFmtId="5" fontId="9" fillId="0" borderId="0" xfId="0" applyNumberFormat="1" applyFont="1" applyFill="1" applyBorder="1"/>
    <xf numFmtId="5" fontId="9" fillId="0" borderId="2" xfId="0" applyNumberFormat="1" applyFont="1" applyFill="1" applyBorder="1"/>
    <xf numFmtId="0" fontId="6" fillId="0" borderId="0" xfId="0" applyFont="1"/>
    <xf numFmtId="0" fontId="18" fillId="0" borderId="0" xfId="0" applyFont="1" applyFill="1" applyBorder="1"/>
    <xf numFmtId="0" fontId="21" fillId="0" borderId="6" xfId="0" applyFont="1" applyBorder="1" applyAlignment="1">
      <alignment horizontal="right" vertical="center"/>
    </xf>
    <xf numFmtId="0" fontId="7" fillId="0" borderId="0" xfId="0" applyFont="1" applyBorder="1"/>
    <xf numFmtId="164" fontId="9" fillId="0" borderId="0" xfId="0" applyNumberFormat="1" applyFont="1" applyBorder="1"/>
    <xf numFmtId="0" fontId="10" fillId="0" borderId="0" xfId="0" applyFont="1" applyBorder="1"/>
    <xf numFmtId="164" fontId="10" fillId="0" borderId="0" xfId="0" applyNumberFormat="1" applyFont="1" applyBorder="1"/>
    <xf numFmtId="0" fontId="7" fillId="0" borderId="2" xfId="0" applyFont="1" applyBorder="1"/>
    <xf numFmtId="164" fontId="9" fillId="0" borderId="2" xfId="0" applyNumberFormat="1" applyFont="1" applyBorder="1"/>
    <xf numFmtId="0" fontId="22" fillId="0" borderId="0" xfId="0" applyFont="1" applyBorder="1"/>
    <xf numFmtId="164" fontId="13" fillId="0" borderId="0" xfId="0" applyNumberFormat="1" applyFont="1" applyBorder="1"/>
    <xf numFmtId="0" fontId="23" fillId="0" borderId="0" xfId="0" applyFont="1" applyBorder="1"/>
    <xf numFmtId="0" fontId="7" fillId="0" borderId="7" xfId="0" applyFont="1" applyBorder="1"/>
    <xf numFmtId="164" fontId="9" fillId="0" borderId="7" xfId="0" applyNumberFormat="1" applyFont="1" applyBorder="1"/>
    <xf numFmtId="0" fontId="7" fillId="0" borderId="5" xfId="0" applyFont="1" applyBorder="1"/>
    <xf numFmtId="164" fontId="9" fillId="0" borderId="5" xfId="0" applyNumberFormat="1" applyFont="1" applyBorder="1"/>
    <xf numFmtId="0" fontId="6" fillId="0" borderId="5" xfId="0" applyFont="1" applyBorder="1"/>
    <xf numFmtId="16" fontId="8" fillId="0" borderId="0" xfId="0" applyNumberFormat="1" applyFont="1" applyFill="1" applyBorder="1" applyAlignment="1">
      <alignment horizontal="right"/>
    </xf>
    <xf numFmtId="16" fontId="9" fillId="0" borderId="0" xfId="0" applyNumberFormat="1" applyFont="1" applyFill="1" applyBorder="1" applyAlignment="1">
      <alignment horizontal="right"/>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16" xfId="0" applyFont="1" applyFill="1" applyBorder="1" applyAlignment="1">
      <alignment horizontal="center"/>
    </xf>
    <xf numFmtId="0" fontId="9" fillId="0" borderId="17" xfId="0" applyFont="1" applyFill="1" applyBorder="1" applyAlignment="1">
      <alignment horizontal="center"/>
    </xf>
    <xf numFmtId="0" fontId="9" fillId="0" borderId="0" xfId="0" applyFont="1" applyFill="1" applyBorder="1" applyAlignment="1">
      <alignment horizontal="center"/>
    </xf>
    <xf numFmtId="0" fontId="8" fillId="0" borderId="12" xfId="0" applyFont="1" applyFill="1" applyBorder="1"/>
    <xf numFmtId="0" fontId="8" fillId="0" borderId="13" xfId="0" applyFont="1" applyFill="1" applyBorder="1"/>
    <xf numFmtId="0" fontId="8" fillId="0" borderId="14" xfId="0" applyFont="1" applyFill="1" applyBorder="1"/>
    <xf numFmtId="0" fontId="8" fillId="0" borderId="5" xfId="0" applyFont="1" applyFill="1" applyBorder="1"/>
    <xf numFmtId="0" fontId="8" fillId="0" borderId="15" xfId="0" applyFont="1" applyFill="1" applyBorder="1"/>
    <xf numFmtId="16" fontId="12" fillId="0" borderId="13" xfId="0" applyNumberFormat="1" applyFont="1" applyFill="1" applyBorder="1" applyAlignment="1">
      <alignment horizont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0" xfId="0" applyFont="1" applyFill="1" applyBorder="1" applyAlignment="1">
      <alignment horizontal="center"/>
    </xf>
    <xf numFmtId="0" fontId="9" fillId="0" borderId="19" xfId="0" applyFont="1" applyFill="1" applyBorder="1" applyAlignment="1">
      <alignment vertical="center" wrapText="1"/>
    </xf>
    <xf numFmtId="0" fontId="21" fillId="0" borderId="6" xfId="0" applyFont="1" applyBorder="1" applyAlignment="1">
      <alignment horizontal="right" vertical="center" wrapText="1"/>
    </xf>
    <xf numFmtId="0" fontId="27" fillId="0" borderId="0" xfId="0" applyFont="1" applyBorder="1"/>
    <xf numFmtId="0" fontId="10" fillId="0" borderId="5" xfId="0" applyFont="1" applyBorder="1"/>
    <xf numFmtId="0" fontId="4" fillId="0" borderId="5" xfId="0" applyFont="1" applyBorder="1" applyAlignment="1">
      <alignment vertical="center"/>
    </xf>
    <xf numFmtId="0" fontId="7" fillId="0" borderId="6" xfId="0" applyFont="1" applyBorder="1"/>
    <xf numFmtId="0" fontId="28" fillId="0" borderId="6" xfId="0" applyFont="1" applyBorder="1" applyAlignment="1">
      <alignment horizontal="right" vertical="center"/>
    </xf>
    <xf numFmtId="0" fontId="6" fillId="0" borderId="0" xfId="0" applyFont="1"/>
    <xf numFmtId="0" fontId="6" fillId="0" borderId="0" xfId="0" applyFont="1"/>
    <xf numFmtId="164" fontId="18" fillId="0" borderId="0" xfId="2" applyNumberFormat="1" applyFont="1" applyFill="1" applyBorder="1"/>
    <xf numFmtId="165" fontId="18" fillId="0" borderId="0" xfId="2" applyNumberFormat="1" applyFont="1" applyFill="1" applyBorder="1"/>
    <xf numFmtId="6" fontId="18" fillId="0" borderId="0" xfId="0" applyNumberFormat="1" applyFont="1"/>
    <xf numFmtId="9" fontId="18" fillId="0" borderId="2" xfId="0" applyNumberFormat="1" applyFont="1" applyBorder="1"/>
    <xf numFmtId="0" fontId="9" fillId="0" borderId="0" xfId="0" applyFont="1" applyFill="1" applyBorder="1" applyAlignment="1">
      <alignment horizontal="right" vertical="center" wrapText="1"/>
    </xf>
    <xf numFmtId="0" fontId="12" fillId="0" borderId="12" xfId="0" applyFont="1" applyFill="1" applyBorder="1" applyAlignment="1">
      <alignment horizontal="center"/>
    </xf>
    <xf numFmtId="0" fontId="6" fillId="0" borderId="0" xfId="0" applyFont="1"/>
    <xf numFmtId="44" fontId="9" fillId="0" borderId="0" xfId="0" applyNumberFormat="1" applyFont="1" applyFill="1" applyBorder="1"/>
    <xf numFmtId="164" fontId="16" fillId="0" borderId="2" xfId="0" applyNumberFormat="1" applyFont="1" applyBorder="1"/>
    <xf numFmtId="0" fontId="6" fillId="0" borderId="0" xfId="0" applyFont="1"/>
    <xf numFmtId="6" fontId="9" fillId="0" borderId="0" xfId="0" applyNumberFormat="1"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6" fontId="16" fillId="0" borderId="2" xfId="0" applyNumberFormat="1" applyFont="1" applyBorder="1"/>
    <xf numFmtId="0" fontId="18" fillId="0" borderId="2" xfId="0" applyFont="1" applyFill="1" applyBorder="1"/>
    <xf numFmtId="0" fontId="6" fillId="0" borderId="3" xfId="0" applyFont="1" applyFill="1" applyBorder="1"/>
    <xf numFmtId="0" fontId="18" fillId="0" borderId="3" xfId="0" applyNumberFormat="1" applyFont="1" applyFill="1" applyBorder="1"/>
    <xf numFmtId="0" fontId="18" fillId="0" borderId="3" xfId="0" applyFont="1" applyFill="1" applyBorder="1"/>
    <xf numFmtId="0" fontId="6" fillId="0" borderId="0" xfId="0" applyFont="1" applyFill="1" applyBorder="1"/>
    <xf numFmtId="0" fontId="6" fillId="0" borderId="2" xfId="0" applyFont="1" applyFill="1" applyBorder="1"/>
    <xf numFmtId="6" fontId="29" fillId="0" borderId="0" xfId="0" applyNumberFormat="1" applyFont="1"/>
    <xf numFmtId="6" fontId="29" fillId="0" borderId="2" xfId="0" applyNumberFormat="1" applyFont="1" applyBorder="1"/>
    <xf numFmtId="3" fontId="29" fillId="0" borderId="0" xfId="0" applyNumberFormat="1" applyFont="1" applyBorder="1" applyAlignment="1">
      <alignment horizontal="right" vertical="center"/>
    </xf>
    <xf numFmtId="3" fontId="29" fillId="0" borderId="2" xfId="0" applyNumberFormat="1" applyFont="1" applyBorder="1" applyAlignment="1">
      <alignment horizontal="right" vertical="center"/>
    </xf>
    <xf numFmtId="0" fontId="6" fillId="0" borderId="0" xfId="0" applyFont="1" applyAlignment="1">
      <alignment horizontal="right"/>
    </xf>
    <xf numFmtId="164" fontId="9" fillId="0" borderId="0" xfId="0" applyNumberFormat="1" applyFont="1" applyBorder="1" applyAlignment="1">
      <alignment horizontal="right"/>
    </xf>
    <xf numFmtId="0" fontId="10" fillId="0" borderId="0" xfId="0" applyFont="1" applyBorder="1" applyAlignment="1">
      <alignment horizontal="right"/>
    </xf>
    <xf numFmtId="0" fontId="6" fillId="0" borderId="5" xfId="0" applyFont="1" applyBorder="1" applyAlignment="1">
      <alignment horizontal="right"/>
    </xf>
    <xf numFmtId="0" fontId="23" fillId="0" borderId="0" xfId="0" applyFont="1" applyBorder="1" applyAlignment="1">
      <alignment horizontal="right"/>
    </xf>
    <xf numFmtId="0" fontId="6" fillId="0" borderId="0" xfId="0" applyFont="1" applyBorder="1" applyAlignment="1">
      <alignment horizontal="right"/>
    </xf>
    <xf numFmtId="0" fontId="7" fillId="0" borderId="0" xfId="0" applyFont="1" applyBorder="1" applyAlignment="1">
      <alignment wrapText="1"/>
    </xf>
    <xf numFmtId="0" fontId="7" fillId="0" borderId="0" xfId="0" applyFont="1" applyBorder="1" applyAlignment="1">
      <alignment horizontal="right" vertical="center"/>
    </xf>
    <xf numFmtId="164" fontId="9" fillId="0" borderId="0" xfId="0" applyNumberFormat="1" applyFont="1" applyBorder="1" applyAlignment="1">
      <alignment horizontal="right" vertical="center"/>
    </xf>
    <xf numFmtId="6" fontId="9" fillId="0" borderId="19" xfId="0" applyNumberFormat="1" applyFont="1" applyFill="1" applyBorder="1" applyAlignment="1">
      <alignment vertical="center" wrapText="1"/>
    </xf>
    <xf numFmtId="164" fontId="14" fillId="0" borderId="0" xfId="0" applyNumberFormat="1" applyFont="1" applyBorder="1"/>
    <xf numFmtId="0" fontId="32" fillId="0" borderId="0" xfId="0" applyFont="1" applyBorder="1" applyAlignment="1">
      <alignment horizontal="left" indent="2"/>
    </xf>
    <xf numFmtId="164" fontId="31" fillId="0" borderId="4" xfId="0" applyNumberFormat="1" applyFont="1" applyFill="1" applyBorder="1" applyAlignment="1">
      <alignment horizontal="right" vertical="center" wrapText="1"/>
    </xf>
    <xf numFmtId="0" fontId="33" fillId="0" borderId="4" xfId="0" applyFont="1" applyBorder="1" applyAlignment="1">
      <alignment horizontal="left" vertical="center" wrapText="1"/>
    </xf>
    <xf numFmtId="0" fontId="33" fillId="0" borderId="24" xfId="0" applyFont="1" applyBorder="1" applyAlignment="1">
      <alignment horizontal="left" vertical="center" wrapText="1"/>
    </xf>
    <xf numFmtId="0" fontId="30" fillId="2" borderId="4" xfId="0" applyFont="1" applyFill="1" applyBorder="1" applyAlignment="1">
      <alignment vertical="center" wrapText="1"/>
    </xf>
    <xf numFmtId="6" fontId="33" fillId="0" borderId="4" xfId="0" applyNumberFormat="1" applyFont="1" applyBorder="1" applyAlignment="1">
      <alignment horizontal="right" vertical="center" wrapText="1"/>
    </xf>
    <xf numFmtId="5" fontId="12" fillId="0" borderId="0" xfId="0" applyNumberFormat="1" applyFont="1" applyFill="1" applyBorder="1"/>
    <xf numFmtId="0" fontId="34" fillId="0" borderId="0" xfId="0" applyFont="1" applyFill="1" applyBorder="1"/>
    <xf numFmtId="0" fontId="35" fillId="2" borderId="11"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12" xfId="0" applyFont="1" applyFill="1" applyBorder="1" applyAlignment="1">
      <alignment horizontal="center"/>
    </xf>
    <xf numFmtId="0" fontId="36" fillId="0" borderId="13" xfId="0" applyFont="1" applyFill="1" applyBorder="1" applyAlignment="1">
      <alignment horizontal="center"/>
    </xf>
    <xf numFmtId="0" fontId="36" fillId="0" borderId="16" xfId="0" applyFont="1" applyFill="1" applyBorder="1" applyAlignment="1">
      <alignment horizontal="center"/>
    </xf>
    <xf numFmtId="0" fontId="36" fillId="0" borderId="17" xfId="0" applyFont="1" applyFill="1" applyBorder="1" applyAlignment="1">
      <alignment horizontal="center"/>
    </xf>
    <xf numFmtId="0" fontId="37" fillId="0" borderId="12" xfId="0" applyFont="1" applyFill="1" applyBorder="1" applyAlignment="1">
      <alignment horizontal="center"/>
    </xf>
    <xf numFmtId="16" fontId="37" fillId="0" borderId="13" xfId="0" applyNumberFormat="1" applyFont="1" applyFill="1" applyBorder="1" applyAlignment="1">
      <alignment horizontal="center"/>
    </xf>
    <xf numFmtId="0" fontId="34" fillId="0" borderId="12" xfId="0" applyFont="1" applyFill="1" applyBorder="1"/>
    <xf numFmtId="0" fontId="34" fillId="0" borderId="13" xfId="0" applyFont="1" applyFill="1" applyBorder="1"/>
    <xf numFmtId="5" fontId="36" fillId="0" borderId="0" xfId="0" applyNumberFormat="1" applyFont="1" applyFill="1" applyBorder="1"/>
    <xf numFmtId="5" fontId="36" fillId="0" borderId="2" xfId="0" applyNumberFormat="1" applyFont="1" applyFill="1" applyBorder="1"/>
    <xf numFmtId="0" fontId="38" fillId="2" borderId="3" xfId="0" applyFont="1" applyFill="1" applyBorder="1" applyAlignment="1">
      <alignment horizontal="right"/>
    </xf>
    <xf numFmtId="167" fontId="39" fillId="2" borderId="3" xfId="4" applyNumberFormat="1" applyFont="1" applyFill="1" applyBorder="1"/>
    <xf numFmtId="0" fontId="39" fillId="2" borderId="3" xfId="0" applyFont="1" applyFill="1" applyBorder="1"/>
    <xf numFmtId="0" fontId="38" fillId="0" borderId="0" xfId="0" applyFont="1" applyFill="1" applyBorder="1" applyAlignment="1">
      <alignment horizontal="right"/>
    </xf>
    <xf numFmtId="167" fontId="39" fillId="0" borderId="0" xfId="4" applyNumberFormat="1" applyFont="1" applyFill="1" applyBorder="1"/>
    <xf numFmtId="0" fontId="39" fillId="0" borderId="0" xfId="0" applyFont="1" applyFill="1" applyBorder="1"/>
    <xf numFmtId="5" fontId="40" fillId="0" borderId="0" xfId="0" applyNumberFormat="1" applyFont="1" applyFill="1" applyBorder="1"/>
    <xf numFmtId="5" fontId="40" fillId="0" borderId="2" xfId="0" applyNumberFormat="1" applyFont="1" applyFill="1" applyBorder="1"/>
    <xf numFmtId="5" fontId="41" fillId="0" borderId="0" xfId="0" applyNumberFormat="1" applyFont="1" applyFill="1" applyBorder="1"/>
    <xf numFmtId="0" fontId="42" fillId="0" borderId="0" xfId="0" applyFont="1" applyFill="1" applyBorder="1"/>
    <xf numFmtId="164" fontId="41" fillId="0" borderId="0" xfId="4" applyNumberFormat="1" applyFont="1" applyFill="1" applyBorder="1"/>
    <xf numFmtId="164" fontId="42" fillId="0" borderId="0" xfId="0" applyNumberFormat="1" applyFont="1" applyFill="1" applyBorder="1"/>
    <xf numFmtId="0" fontId="38" fillId="2" borderId="1" xfId="0" applyFont="1" applyFill="1" applyBorder="1" applyAlignment="1">
      <alignment horizontal="right"/>
    </xf>
    <xf numFmtId="164" fontId="39" fillId="2" borderId="1" xfId="4" applyNumberFormat="1" applyFont="1" applyFill="1" applyBorder="1"/>
    <xf numFmtId="164" fontId="39" fillId="2" borderId="1" xfId="0" applyNumberFormat="1" applyFont="1" applyFill="1" applyBorder="1"/>
    <xf numFmtId="0" fontId="41" fillId="0" borderId="0" xfId="0" applyFont="1" applyFill="1" applyBorder="1" applyAlignment="1">
      <alignment horizontal="center"/>
    </xf>
    <xf numFmtId="164" fontId="40" fillId="0" borderId="0" xfId="4" applyNumberFormat="1" applyFont="1" applyFill="1" applyBorder="1"/>
    <xf numFmtId="164" fontId="43" fillId="0" borderId="0" xfId="0" applyNumberFormat="1" applyFont="1" applyFill="1" applyBorder="1"/>
    <xf numFmtId="0" fontId="43" fillId="0" borderId="0" xfId="0" applyFont="1" applyFill="1" applyBorder="1"/>
    <xf numFmtId="5" fontId="43" fillId="0" borderId="0" xfId="0" applyNumberFormat="1" applyFont="1" applyFill="1" applyBorder="1"/>
    <xf numFmtId="6" fontId="43" fillId="0" borderId="0" xfId="0" applyNumberFormat="1" applyFont="1" applyFill="1" applyBorder="1"/>
    <xf numFmtId="164" fontId="43" fillId="0" borderId="0" xfId="1" applyNumberFormat="1" applyFont="1" applyFill="1" applyBorder="1"/>
    <xf numFmtId="164" fontId="40" fillId="0" borderId="0" xfId="0" applyNumberFormat="1" applyFont="1" applyFill="1" applyBorder="1"/>
    <xf numFmtId="5" fontId="44" fillId="0" borderId="0" xfId="0" applyNumberFormat="1" applyFont="1" applyFill="1" applyBorder="1"/>
    <xf numFmtId="5" fontId="41" fillId="0" borderId="1" xfId="0" applyNumberFormat="1" applyFont="1" applyFill="1" applyBorder="1"/>
    <xf numFmtId="5" fontId="43" fillId="2" borderId="0" xfId="0" applyNumberFormat="1" applyFont="1" applyFill="1" applyBorder="1"/>
    <xf numFmtId="164" fontId="40" fillId="2" borderId="0" xfId="4" applyNumberFormat="1" applyFont="1" applyFill="1" applyBorder="1"/>
    <xf numFmtId="164" fontId="42" fillId="2" borderId="0" xfId="0" applyNumberFormat="1" applyFont="1" applyFill="1" applyBorder="1"/>
    <xf numFmtId="0" fontId="42" fillId="0" borderId="5" xfId="0" applyFont="1" applyFill="1" applyBorder="1"/>
    <xf numFmtId="164" fontId="41" fillId="0" borderId="5" xfId="0" applyNumberFormat="1" applyFont="1" applyFill="1" applyBorder="1"/>
    <xf numFmtId="164" fontId="41" fillId="0" borderId="5" xfId="0" applyNumberFormat="1" applyFont="1" applyFill="1" applyBorder="1" applyAlignment="1">
      <alignment horizontal="right"/>
    </xf>
    <xf numFmtId="164" fontId="41" fillId="0" borderId="5" xfId="4" applyNumberFormat="1" applyFont="1" applyFill="1" applyBorder="1" applyAlignment="1">
      <alignment horizontal="right"/>
    </xf>
    <xf numFmtId="164" fontId="42" fillId="0" borderId="5" xfId="0" applyNumberFormat="1" applyFont="1" applyFill="1" applyBorder="1"/>
    <xf numFmtId="167" fontId="40" fillId="0" borderId="0" xfId="4" applyNumberFormat="1" applyFont="1" applyFill="1" applyBorder="1"/>
    <xf numFmtId="0" fontId="40" fillId="0" borderId="0" xfId="0" applyFont="1" applyFill="1" applyBorder="1"/>
    <xf numFmtId="9" fontId="45" fillId="0" borderId="0" xfId="2" applyFont="1" applyFill="1" applyBorder="1"/>
    <xf numFmtId="0" fontId="41" fillId="0" borderId="0" xfId="0" applyFont="1" applyFill="1" applyBorder="1" applyAlignment="1">
      <alignment horizontal="right" wrapText="1"/>
    </xf>
    <xf numFmtId="0" fontId="38" fillId="2" borderId="3" xfId="0" applyFont="1" applyFill="1" applyBorder="1"/>
    <xf numFmtId="0" fontId="38" fillId="0" borderId="0" xfId="0" applyFont="1" applyFill="1" applyBorder="1"/>
    <xf numFmtId="0" fontId="40" fillId="0" borderId="2" xfId="0" applyFont="1" applyFill="1" applyBorder="1"/>
    <xf numFmtId="0" fontId="41" fillId="0" borderId="0" xfId="0" applyFont="1" applyFill="1" applyBorder="1"/>
    <xf numFmtId="0" fontId="38" fillId="2" borderId="1" xfId="0" applyFont="1" applyFill="1" applyBorder="1"/>
    <xf numFmtId="0" fontId="46" fillId="0" borderId="0" xfId="0" applyFont="1" applyFill="1" applyBorder="1"/>
    <xf numFmtId="0" fontId="47" fillId="0" borderId="0" xfId="0" applyFont="1" applyFill="1" applyBorder="1"/>
    <xf numFmtId="0" fontId="48" fillId="0" borderId="0" xfId="0" applyFont="1" applyFill="1" applyBorder="1" applyAlignment="1">
      <alignment horizontal="left" indent="1"/>
    </xf>
    <xf numFmtId="0" fontId="40" fillId="0" borderId="0" xfId="0" applyFont="1" applyFill="1" applyBorder="1" applyAlignment="1">
      <alignment horizontal="left" indent="1"/>
    </xf>
    <xf numFmtId="0" fontId="47" fillId="0" borderId="0" xfId="0" applyFont="1" applyFill="1" applyBorder="1" applyAlignment="1">
      <alignment horizontal="left" indent="3"/>
    </xf>
    <xf numFmtId="0" fontId="40" fillId="0" borderId="0" xfId="0" applyFont="1" applyFill="1" applyBorder="1" applyAlignment="1">
      <alignment horizontal="left" wrapText="1" indent="1"/>
    </xf>
    <xf numFmtId="0" fontId="48" fillId="0" borderId="0" xfId="0" applyFont="1" applyFill="1" applyBorder="1" applyAlignment="1">
      <alignment horizontal="left" wrapText="1" indent="1"/>
    </xf>
    <xf numFmtId="0" fontId="40" fillId="0" borderId="0" xfId="0" applyFont="1" applyFill="1" applyBorder="1" applyAlignment="1">
      <alignment horizontal="left" indent="2"/>
    </xf>
    <xf numFmtId="0" fontId="40" fillId="0" borderId="0" xfId="0" applyFont="1" applyFill="1" applyBorder="1" applyAlignment="1">
      <alignment horizontal="left" wrapText="1" indent="2"/>
    </xf>
    <xf numFmtId="0" fontId="41" fillId="0" borderId="1" xfId="0" applyFont="1" applyFill="1" applyBorder="1" applyAlignment="1">
      <alignment wrapText="1"/>
    </xf>
    <xf numFmtId="0" fontId="40" fillId="0" borderId="0" xfId="0" applyFont="1" applyFill="1" applyBorder="1" applyAlignment="1">
      <alignment wrapText="1"/>
    </xf>
    <xf numFmtId="164" fontId="49" fillId="0" borderId="0" xfId="0" applyNumberFormat="1" applyFont="1" applyFill="1" applyBorder="1"/>
    <xf numFmtId="164" fontId="41" fillId="0" borderId="0" xfId="0" applyNumberFormat="1" applyFont="1" applyFill="1" applyBorder="1"/>
    <xf numFmtId="164" fontId="41" fillId="0" borderId="0" xfId="0" applyNumberFormat="1" applyFont="1" applyFill="1" applyBorder="1" applyAlignment="1">
      <alignment horizontal="right"/>
    </xf>
    <xf numFmtId="164" fontId="41" fillId="0" borderId="0" xfId="4" applyNumberFormat="1" applyFont="1" applyFill="1" applyBorder="1" applyAlignment="1">
      <alignment horizontal="right"/>
    </xf>
    <xf numFmtId="164" fontId="50" fillId="0" borderId="0" xfId="0" applyNumberFormat="1" applyFont="1" applyFill="1" applyBorder="1"/>
    <xf numFmtId="164" fontId="48" fillId="0" borderId="0" xfId="0" applyNumberFormat="1" applyFont="1" applyFill="1" applyBorder="1"/>
    <xf numFmtId="164" fontId="40" fillId="0" borderId="0" xfId="0" applyNumberFormat="1" applyFont="1" applyFill="1" applyBorder="1" applyAlignment="1">
      <alignment wrapText="1"/>
    </xf>
    <xf numFmtId="43" fontId="40" fillId="0" borderId="0" xfId="1" applyFont="1" applyFill="1" applyBorder="1"/>
    <xf numFmtId="20" fontId="43" fillId="0" borderId="0" xfId="0" applyNumberFormat="1" applyFont="1" applyFill="1" applyBorder="1"/>
    <xf numFmtId="0" fontId="10" fillId="0" borderId="0" xfId="0" applyFont="1"/>
    <xf numFmtId="0" fontId="10" fillId="0" borderId="5" xfId="0" applyFont="1" applyFill="1" applyBorder="1" applyAlignment="1">
      <alignment vertical="center" wrapText="1"/>
    </xf>
    <xf numFmtId="0" fontId="10" fillId="0" borderId="5" xfId="0" applyFont="1" applyFill="1" applyBorder="1" applyAlignment="1">
      <alignment horizontal="right" vertical="center" wrapText="1"/>
    </xf>
    <xf numFmtId="0" fontId="7" fillId="0" borderId="0" xfId="0" applyFont="1" applyBorder="1" applyAlignment="1">
      <alignment horizontal="right" vertical="center" wrapText="1"/>
    </xf>
    <xf numFmtId="0" fontId="22" fillId="0" borderId="0" xfId="0" applyFont="1" applyBorder="1" applyAlignment="1">
      <alignment horizontal="right" vertical="center" wrapText="1"/>
    </xf>
    <xf numFmtId="164" fontId="28" fillId="0" borderId="0" xfId="0" applyNumberFormat="1" applyFont="1" applyBorder="1" applyAlignment="1">
      <alignment horizontal="right" vertical="center" wrapText="1"/>
    </xf>
    <xf numFmtId="164" fontId="51" fillId="0" borderId="0" xfId="0" applyNumberFormat="1" applyFont="1" applyBorder="1" applyAlignment="1">
      <alignment horizontal="right" vertical="center" wrapText="1"/>
    </xf>
    <xf numFmtId="1" fontId="28" fillId="0" borderId="0" xfId="0" applyNumberFormat="1" applyFont="1" applyBorder="1" applyAlignment="1">
      <alignment horizontal="right" vertical="center" wrapText="1"/>
    </xf>
    <xf numFmtId="1" fontId="51" fillId="0" borderId="0" xfId="0" applyNumberFormat="1" applyFont="1" applyBorder="1" applyAlignment="1">
      <alignment horizontal="right" vertical="center" wrapText="1"/>
    </xf>
    <xf numFmtId="0" fontId="2" fillId="0" borderId="0" xfId="0" applyFont="1"/>
    <xf numFmtId="0" fontId="10" fillId="0" borderId="6" xfId="0" applyFont="1" applyBorder="1" applyAlignment="1">
      <alignment horizontal="right" vertical="center" wrapText="1"/>
    </xf>
    <xf numFmtId="0" fontId="10" fillId="0" borderId="0" xfId="0" applyFont="1" applyBorder="1" applyAlignment="1">
      <alignment vertical="center"/>
    </xf>
    <xf numFmtId="164" fontId="10" fillId="0" borderId="0" xfId="0" applyNumberFormat="1" applyFont="1" applyBorder="1" applyAlignment="1">
      <alignment vertical="center"/>
    </xf>
    <xf numFmtId="1" fontId="10" fillId="0" borderId="0" xfId="0" applyNumberFormat="1" applyFont="1" applyBorder="1" applyAlignment="1">
      <alignment vertical="center"/>
    </xf>
    <xf numFmtId="5" fontId="9" fillId="0" borderId="16" xfId="0" applyNumberFormat="1" applyFont="1" applyFill="1" applyBorder="1"/>
    <xf numFmtId="5" fontId="9" fillId="0" borderId="13" xfId="0" applyNumberFormat="1" applyFont="1" applyFill="1" applyBorder="1"/>
    <xf numFmtId="5" fontId="9" fillId="0" borderId="20" xfId="0" applyNumberFormat="1" applyFont="1" applyFill="1" applyBorder="1"/>
    <xf numFmtId="5" fontId="12" fillId="0" borderId="13" xfId="0" applyNumberFormat="1" applyFont="1" applyFill="1" applyBorder="1"/>
    <xf numFmtId="0" fontId="9" fillId="0" borderId="25" xfId="0" applyFont="1" applyFill="1" applyBorder="1" applyAlignment="1">
      <alignment horizontal="center" vertical="center" wrapText="1"/>
    </xf>
    <xf numFmtId="5" fontId="9" fillId="0" borderId="21" xfId="0" applyNumberFormat="1" applyFont="1" applyFill="1" applyBorder="1"/>
    <xf numFmtId="0" fontId="8" fillId="0" borderId="22" xfId="0" applyFont="1" applyFill="1" applyBorder="1"/>
    <xf numFmtId="5" fontId="9" fillId="0" borderId="12" xfId="0" applyNumberFormat="1" applyFont="1" applyFill="1" applyBorder="1"/>
    <xf numFmtId="5" fontId="9" fillId="0" borderId="17" xfId="0" applyNumberFormat="1" applyFont="1" applyFill="1" applyBorder="1"/>
    <xf numFmtId="5" fontId="12" fillId="0" borderId="21" xfId="0" applyNumberFormat="1" applyFont="1" applyFill="1" applyBorder="1"/>
    <xf numFmtId="5" fontId="12" fillId="0" borderId="12" xfId="0" applyNumberFormat="1" applyFont="1" applyFill="1" applyBorder="1"/>
    <xf numFmtId="5" fontId="36" fillId="0" borderId="16" xfId="0" applyNumberFormat="1" applyFont="1" applyFill="1" applyBorder="1"/>
    <xf numFmtId="5" fontId="36" fillId="0" borderId="13" xfId="0" applyNumberFormat="1" applyFont="1" applyFill="1" applyBorder="1"/>
    <xf numFmtId="5" fontId="36" fillId="0" borderId="17" xfId="0" applyNumberFormat="1" applyFont="1" applyFill="1" applyBorder="1"/>
    <xf numFmtId="5" fontId="36" fillId="0" borderId="5" xfId="0" applyNumberFormat="1" applyFont="1" applyFill="1" applyBorder="1"/>
    <xf numFmtId="5" fontId="36" fillId="0" borderId="15" xfId="0" applyNumberFormat="1" applyFont="1" applyFill="1" applyBorder="1"/>
    <xf numFmtId="164" fontId="18" fillId="0" borderId="1" xfId="2" applyNumberFormat="1" applyFont="1" applyFill="1" applyBorder="1"/>
    <xf numFmtId="0" fontId="26" fillId="0" borderId="0" xfId="0" applyFont="1" applyBorder="1"/>
    <xf numFmtId="168" fontId="18" fillId="0" borderId="0" xfId="0" applyNumberFormat="1" applyFont="1" applyBorder="1"/>
    <xf numFmtId="0" fontId="10" fillId="0" borderId="2" xfId="0" applyFont="1" applyBorder="1"/>
    <xf numFmtId="164" fontId="16" fillId="0" borderId="2" xfId="2" applyNumberFormat="1" applyFont="1" applyFill="1" applyBorder="1"/>
    <xf numFmtId="0" fontId="10" fillId="0" borderId="5" xfId="0" applyFont="1" applyBorder="1" applyAlignment="1">
      <alignment horizontal="left" vertical="center"/>
    </xf>
    <xf numFmtId="0" fontId="10" fillId="0" borderId="6" xfId="0" applyFont="1" applyBorder="1"/>
    <xf numFmtId="164" fontId="10" fillId="0" borderId="5" xfId="0" applyNumberFormat="1" applyFont="1" applyBorder="1"/>
    <xf numFmtId="0" fontId="10" fillId="0" borderId="5" xfId="0" applyFont="1" applyBorder="1" applyAlignment="1">
      <alignment horizontal="right"/>
    </xf>
    <xf numFmtId="2" fontId="9" fillId="0" borderId="5" xfId="0" applyNumberFormat="1" applyFont="1" applyBorder="1"/>
    <xf numFmtId="0" fontId="7" fillId="0" borderId="0" xfId="0" applyFont="1"/>
    <xf numFmtId="165" fontId="7" fillId="0" borderId="0" xfId="0" applyNumberFormat="1" applyFont="1"/>
    <xf numFmtId="165" fontId="2" fillId="0" borderId="0" xfId="0" applyNumberFormat="1" applyFont="1"/>
    <xf numFmtId="5" fontId="36" fillId="0" borderId="12" xfId="0" applyNumberFormat="1" applyFont="1" applyFill="1" applyBorder="1"/>
    <xf numFmtId="5" fontId="36" fillId="0" borderId="14" xfId="0" applyNumberFormat="1" applyFont="1" applyFill="1" applyBorder="1"/>
    <xf numFmtId="5" fontId="36" fillId="0" borderId="26" xfId="0" applyNumberFormat="1" applyFont="1" applyFill="1" applyBorder="1"/>
    <xf numFmtId="5" fontId="36" fillId="0" borderId="27" xfId="0" applyNumberFormat="1" applyFont="1" applyFill="1" applyBorder="1"/>
    <xf numFmtId="5" fontId="36" fillId="0" borderId="28" xfId="0" applyNumberFormat="1" applyFont="1" applyFill="1" applyBorder="1"/>
    <xf numFmtId="5" fontId="36" fillId="0" borderId="29" xfId="0" applyNumberFormat="1" applyFont="1" applyFill="1" applyBorder="1"/>
    <xf numFmtId="0" fontId="6" fillId="0" borderId="0" xfId="0" applyFont="1" applyBorder="1" applyAlignment="1">
      <alignment vertical="center"/>
    </xf>
    <xf numFmtId="0" fontId="10" fillId="0" borderId="6" xfId="0" applyFont="1" applyBorder="1" applyAlignment="1">
      <alignment horizontal="right"/>
    </xf>
    <xf numFmtId="0" fontId="4" fillId="0" borderId="6" xfId="0" applyFont="1" applyBorder="1"/>
    <xf numFmtId="0" fontId="4" fillId="0" borderId="6" xfId="0" applyFont="1" applyBorder="1" applyAlignment="1">
      <alignment horizontal="right"/>
    </xf>
    <xf numFmtId="168" fontId="18" fillId="0" borderId="2" xfId="0" applyNumberFormat="1" applyFont="1" applyBorder="1"/>
    <xf numFmtId="0" fontId="26" fillId="0" borderId="0" xfId="0" applyFont="1" applyBorder="1" applyAlignment="1">
      <alignment horizontal="left" wrapText="1"/>
    </xf>
    <xf numFmtId="0" fontId="52" fillId="0" borderId="0" xfId="0" applyFont="1"/>
    <xf numFmtId="0" fontId="52" fillId="0" borderId="33" xfId="0" applyFont="1" applyBorder="1"/>
    <xf numFmtId="0" fontId="52" fillId="0" borderId="32" xfId="0" applyFont="1" applyBorder="1"/>
    <xf numFmtId="0" fontId="52" fillId="0" borderId="34" xfId="0" applyFont="1" applyBorder="1"/>
    <xf numFmtId="0" fontId="52" fillId="0" borderId="2" xfId="0" applyFont="1" applyBorder="1"/>
    <xf numFmtId="0" fontId="52" fillId="0" borderId="35" xfId="0" applyFont="1" applyBorder="1"/>
    <xf numFmtId="0" fontId="52" fillId="0" borderId="31" xfId="0" applyFont="1" applyBorder="1"/>
    <xf numFmtId="0" fontId="52" fillId="0" borderId="1" xfId="0" applyFont="1" applyBorder="1"/>
    <xf numFmtId="0" fontId="53" fillId="0" borderId="0" xfId="0" applyFont="1"/>
    <xf numFmtId="0" fontId="52" fillId="0" borderId="36" xfId="0" applyFont="1" applyBorder="1"/>
    <xf numFmtId="0" fontId="52" fillId="0" borderId="0" xfId="0" applyFont="1" applyBorder="1"/>
    <xf numFmtId="0" fontId="52" fillId="0" borderId="0" xfId="0" applyFont="1" applyBorder="1" applyAlignment="1">
      <alignment horizontal="center"/>
    </xf>
    <xf numFmtId="0" fontId="52" fillId="0" borderId="30" xfId="0" applyFont="1" applyBorder="1"/>
    <xf numFmtId="0" fontId="52" fillId="0" borderId="24" xfId="0" applyFont="1" applyBorder="1"/>
    <xf numFmtId="0" fontId="54" fillId="0" borderId="3" xfId="0" applyFont="1" applyBorder="1" applyAlignment="1">
      <alignment vertical="center"/>
    </xf>
    <xf numFmtId="0" fontId="54" fillId="0" borderId="3" xfId="0" applyFont="1" applyBorder="1"/>
    <xf numFmtId="0" fontId="52" fillId="0" borderId="31" xfId="0" applyFont="1" applyBorder="1" applyAlignment="1">
      <alignment vertical="center"/>
    </xf>
    <xf numFmtId="0" fontId="52" fillId="0" borderId="1" xfId="0" applyFont="1" applyBorder="1" applyAlignment="1">
      <alignment vertical="center"/>
    </xf>
    <xf numFmtId="0" fontId="52" fillId="0" borderId="1" xfId="0" applyFont="1" applyBorder="1" applyAlignment="1">
      <alignment horizontal="center" vertical="center"/>
    </xf>
    <xf numFmtId="0" fontId="52" fillId="0" borderId="1" xfId="0" quotePrefix="1" applyFont="1" applyBorder="1" applyAlignment="1">
      <alignment horizontal="center" vertical="center"/>
    </xf>
    <xf numFmtId="0" fontId="52" fillId="0" borderId="36"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0" xfId="0" quotePrefix="1" applyFont="1" applyBorder="1" applyAlignment="1">
      <alignment horizontal="center" vertical="center"/>
    </xf>
    <xf numFmtId="0" fontId="52" fillId="0" borderId="34" xfId="0" applyFont="1" applyBorder="1" applyAlignment="1">
      <alignment vertical="center"/>
    </xf>
    <xf numFmtId="0" fontId="52" fillId="0" borderId="2" xfId="0" applyFont="1" applyBorder="1" applyAlignment="1">
      <alignment vertical="center"/>
    </xf>
    <xf numFmtId="0" fontId="52" fillId="0" borderId="2" xfId="0" applyFont="1" applyBorder="1" applyAlignment="1">
      <alignment horizontal="center" vertical="center"/>
    </xf>
    <xf numFmtId="164" fontId="9" fillId="0" borderId="0" xfId="0" applyNumberFormat="1" applyFont="1" applyBorder="1" applyAlignment="1"/>
    <xf numFmtId="0" fontId="54" fillId="0" borderId="36"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4" fillId="0" borderId="2" xfId="0" applyFont="1" applyBorder="1" applyAlignment="1">
      <alignment vertical="center"/>
    </xf>
    <xf numFmtId="0" fontId="54" fillId="0" borderId="0" xfId="0" quotePrefix="1" applyFont="1" applyBorder="1" applyAlignment="1">
      <alignment horizontal="center" vertical="center"/>
    </xf>
    <xf numFmtId="0" fontId="54" fillId="0" borderId="30" xfId="0" applyFont="1" applyBorder="1"/>
    <xf numFmtId="0" fontId="54" fillId="0" borderId="0" xfId="0" applyFont="1" applyBorder="1"/>
    <xf numFmtId="0" fontId="54" fillId="0" borderId="0" xfId="0" applyFont="1" applyBorder="1" applyAlignment="1">
      <alignment horizontal="right" vertical="center"/>
    </xf>
    <xf numFmtId="0" fontId="54" fillId="0" borderId="2" xfId="0" applyFont="1" applyBorder="1" applyAlignment="1">
      <alignment horizontal="center" vertical="center"/>
    </xf>
    <xf numFmtId="0" fontId="54" fillId="0" borderId="0" xfId="0" applyFont="1" applyBorder="1" applyAlignment="1">
      <alignment horizontal="left" vertical="center"/>
    </xf>
    <xf numFmtId="0" fontId="53" fillId="0" borderId="0" xfId="0" applyFont="1" applyBorder="1" applyAlignment="1">
      <alignment vertical="center"/>
    </xf>
    <xf numFmtId="167" fontId="52" fillId="0" borderId="24" xfId="4" applyNumberFormat="1" applyFont="1" applyBorder="1" applyAlignment="1"/>
    <xf numFmtId="167" fontId="9" fillId="0" borderId="3" xfId="4" applyNumberFormat="1" applyFont="1" applyBorder="1" applyAlignment="1"/>
    <xf numFmtId="167" fontId="9" fillId="0" borderId="37" xfId="4" applyNumberFormat="1" applyFont="1" applyBorder="1" applyAlignment="1"/>
    <xf numFmtId="0" fontId="18" fillId="0" borderId="2" xfId="0" applyFont="1" applyBorder="1" applyAlignment="1">
      <alignment horizontal="right"/>
    </xf>
    <xf numFmtId="164" fontId="16" fillId="0" borderId="0" xfId="2" applyNumberFormat="1" applyFont="1" applyFill="1" applyBorder="1"/>
    <xf numFmtId="0" fontId="18" fillId="0" borderId="0" xfId="0" applyFont="1" applyBorder="1" applyAlignment="1">
      <alignment horizontal="right"/>
    </xf>
    <xf numFmtId="164" fontId="18" fillId="0" borderId="3" xfId="2" applyNumberFormat="1" applyFont="1" applyFill="1" applyBorder="1"/>
    <xf numFmtId="0" fontId="4" fillId="0" borderId="3" xfId="0" applyFont="1" applyBorder="1"/>
    <xf numFmtId="0" fontId="16" fillId="0" borderId="3" xfId="0" applyFont="1" applyBorder="1"/>
    <xf numFmtId="172" fontId="6" fillId="0" borderId="0" xfId="0" applyNumberFormat="1" applyFont="1" applyFill="1" applyBorder="1"/>
    <xf numFmtId="173" fontId="29" fillId="0" borderId="0" xfId="0" applyNumberFormat="1" applyFont="1" applyBorder="1" applyAlignment="1">
      <alignment horizontal="right" vertical="center"/>
    </xf>
    <xf numFmtId="173" fontId="29" fillId="0" borderId="2" xfId="0" applyNumberFormat="1" applyFont="1" applyBorder="1" applyAlignment="1">
      <alignment horizontal="right" vertical="center"/>
    </xf>
    <xf numFmtId="1" fontId="7" fillId="0" borderId="36" xfId="0" applyNumberFormat="1" applyFont="1" applyBorder="1" applyAlignment="1">
      <alignment horizontal="right"/>
    </xf>
    <xf numFmtId="1" fontId="7" fillId="0" borderId="0" xfId="0" applyNumberFormat="1" applyFont="1" applyBorder="1" applyAlignment="1">
      <alignment horizontal="right"/>
    </xf>
    <xf numFmtId="0" fontId="7" fillId="0" borderId="0" xfId="0" applyNumberFormat="1" applyFont="1" applyBorder="1"/>
    <xf numFmtId="1" fontId="7" fillId="0" borderId="0" xfId="0" applyNumberFormat="1" applyFont="1" applyBorder="1"/>
    <xf numFmtId="167" fontId="7" fillId="0" borderId="0" xfId="4" applyNumberFormat="1" applyFont="1" applyBorder="1"/>
    <xf numFmtId="167" fontId="7" fillId="0" borderId="30" xfId="4" applyNumberFormat="1" applyFont="1" applyBorder="1"/>
    <xf numFmtId="1" fontId="7" fillId="0" borderId="34" xfId="0" applyNumberFormat="1" applyFont="1" applyBorder="1" applyAlignment="1">
      <alignment horizontal="right"/>
    </xf>
    <xf numFmtId="1" fontId="7" fillId="0" borderId="2" xfId="0" applyNumberFormat="1" applyFont="1" applyBorder="1" applyAlignment="1">
      <alignment horizontal="right"/>
    </xf>
    <xf numFmtId="0" fontId="7" fillId="0" borderId="2" xfId="0" applyNumberFormat="1" applyFont="1" applyBorder="1"/>
    <xf numFmtId="1" fontId="7" fillId="0" borderId="2" xfId="0" applyNumberFormat="1" applyFont="1" applyBorder="1"/>
    <xf numFmtId="167" fontId="7" fillId="0" borderId="2" xfId="4" applyNumberFormat="1" applyFont="1" applyBorder="1"/>
    <xf numFmtId="167" fontId="7" fillId="0" borderId="35" xfId="4" applyNumberFormat="1" applyFont="1" applyBorder="1"/>
    <xf numFmtId="0" fontId="6" fillId="0" borderId="1" xfId="0" applyFont="1" applyBorder="1" applyAlignment="1">
      <alignment horizontal="right"/>
    </xf>
    <xf numFmtId="0" fontId="6" fillId="0" borderId="32" xfId="0" applyFont="1" applyBorder="1"/>
    <xf numFmtId="1" fontId="4" fillId="0" borderId="2" xfId="0" applyNumberFormat="1" applyFont="1" applyBorder="1"/>
    <xf numFmtId="167" fontId="10" fillId="0" borderId="2" xfId="4" applyNumberFormat="1" applyFont="1" applyBorder="1"/>
    <xf numFmtId="167" fontId="10" fillId="0" borderId="35" xfId="4" applyNumberFormat="1" applyFont="1" applyBorder="1"/>
    <xf numFmtId="1" fontId="6" fillId="0" borderId="0" xfId="0" applyNumberFormat="1" applyFont="1" applyAlignment="1">
      <alignment horizontal="right"/>
    </xf>
    <xf numFmtId="1" fontId="6" fillId="0" borderId="0" xfId="0" applyNumberFormat="1" applyFont="1"/>
    <xf numFmtId="167" fontId="6" fillId="0" borderId="0" xfId="4" applyNumberFormat="1" applyFont="1"/>
    <xf numFmtId="1" fontId="16" fillId="3" borderId="2" xfId="0" applyNumberFormat="1" applyFont="1" applyFill="1" applyBorder="1" applyAlignment="1">
      <alignment horizontal="left" wrapText="1"/>
    </xf>
    <xf numFmtId="167" fontId="16" fillId="3" borderId="2" xfId="4" applyNumberFormat="1" applyFont="1" applyFill="1" applyBorder="1" applyAlignment="1">
      <alignment horizontal="left" wrapText="1"/>
    </xf>
    <xf numFmtId="0" fontId="6" fillId="0" borderId="0" xfId="0" applyFont="1" applyFill="1"/>
    <xf numFmtId="0" fontId="4" fillId="0" borderId="3" xfId="0" applyFont="1" applyFill="1" applyBorder="1"/>
    <xf numFmtId="0" fontId="6" fillId="0" borderId="0" xfId="0" applyFont="1" applyFill="1" applyAlignment="1">
      <alignment horizontal="left" indent="2"/>
    </xf>
    <xf numFmtId="0" fontId="23" fillId="0" borderId="0" xfId="0" applyFont="1" applyFill="1"/>
    <xf numFmtId="0" fontId="4" fillId="0" borderId="1" xfId="0" applyFont="1" applyFill="1" applyBorder="1"/>
    <xf numFmtId="0" fontId="4" fillId="0" borderId="2" xfId="0" applyFont="1" applyFill="1" applyBorder="1"/>
    <xf numFmtId="0" fontId="4" fillId="0" borderId="2" xfId="0" applyFont="1" applyFill="1" applyBorder="1" applyAlignment="1">
      <alignment horizontal="center"/>
    </xf>
    <xf numFmtId="0" fontId="57" fillId="0" borderId="0" xfId="0" applyFont="1"/>
    <xf numFmtId="0" fontId="58" fillId="0" borderId="0" xfId="0" applyFont="1" applyFill="1"/>
    <xf numFmtId="166" fontId="6" fillId="0" borderId="0" xfId="1" applyNumberFormat="1" applyFont="1" applyFill="1"/>
    <xf numFmtId="9" fontId="6" fillId="0" borderId="0" xfId="0" applyNumberFormat="1" applyFont="1" applyFill="1"/>
    <xf numFmtId="9" fontId="6" fillId="0" borderId="0" xfId="0" applyNumberFormat="1" applyFont="1"/>
    <xf numFmtId="166" fontId="6" fillId="0" borderId="0" xfId="1" applyNumberFormat="1" applyFont="1" applyFill="1" applyAlignment="1">
      <alignment horizontal="right"/>
    </xf>
    <xf numFmtId="0" fontId="56" fillId="0" borderId="1" xfId="0" applyFont="1" applyFill="1" applyBorder="1"/>
    <xf numFmtId="0" fontId="4" fillId="0" borderId="2" xfId="0" applyFont="1" applyFill="1" applyBorder="1" applyAlignment="1">
      <alignment horizontal="center" vertical="center"/>
    </xf>
    <xf numFmtId="43" fontId="4" fillId="0" borderId="2" xfId="1" applyFont="1" applyFill="1" applyBorder="1" applyAlignment="1">
      <alignment horizontal="center" vertical="center"/>
    </xf>
    <xf numFmtId="0" fontId="6" fillId="0" borderId="0" xfId="0" applyFont="1" applyFill="1" applyAlignment="1">
      <alignment horizontal="center" vertical="center"/>
    </xf>
    <xf numFmtId="43" fontId="6" fillId="0" borderId="0" xfId="0" applyNumberFormat="1" applyFont="1" applyFill="1"/>
    <xf numFmtId="0" fontId="58" fillId="0" borderId="0" xfId="0" applyFont="1" applyFill="1" applyAlignment="1">
      <alignment horizontal="center" vertical="center"/>
    </xf>
    <xf numFmtId="166" fontId="58" fillId="0" borderId="0" xfId="1" applyNumberFormat="1" applyFont="1" applyFill="1"/>
    <xf numFmtId="43" fontId="58" fillId="0" borderId="0" xfId="0" applyNumberFormat="1" applyFont="1" applyFill="1"/>
    <xf numFmtId="166" fontId="6" fillId="0" borderId="0" xfId="0" applyNumberFormat="1" applyFont="1" applyFill="1"/>
    <xf numFmtId="174" fontId="6" fillId="0" borderId="0" xfId="0" applyNumberFormat="1" applyFont="1" applyFill="1"/>
    <xf numFmtId="43" fontId="6" fillId="0" borderId="0" xfId="1" applyFont="1" applyFill="1"/>
    <xf numFmtId="0" fontId="4" fillId="0" borderId="3" xfId="0" applyFont="1" applyFill="1" applyBorder="1" applyAlignment="1">
      <alignment vertical="center"/>
    </xf>
    <xf numFmtId="0" fontId="4" fillId="0" borderId="3" xfId="0" applyFont="1" applyFill="1" applyBorder="1" applyAlignment="1">
      <alignment horizontal="center" vertical="center"/>
    </xf>
    <xf numFmtId="1" fontId="6" fillId="0" borderId="0" xfId="0" applyNumberFormat="1" applyFont="1" applyFill="1"/>
    <xf numFmtId="43" fontId="6" fillId="0" borderId="0" xfId="1" applyFont="1" applyFill="1" applyAlignment="1">
      <alignment horizontal="right"/>
    </xf>
    <xf numFmtId="43" fontId="58" fillId="0" borderId="0" xfId="1" applyFont="1" applyFill="1" applyAlignment="1">
      <alignment horizontal="right"/>
    </xf>
    <xf numFmtId="166" fontId="58" fillId="0" borderId="0" xfId="1" applyNumberFormat="1" applyFont="1" applyFill="1" applyAlignment="1">
      <alignment horizontal="right"/>
    </xf>
    <xf numFmtId="0" fontId="4" fillId="0" borderId="3" xfId="0" applyFont="1" applyFill="1" applyBorder="1" applyAlignment="1">
      <alignment horizontal="center" vertical="center" wrapText="1"/>
    </xf>
    <xf numFmtId="166" fontId="6" fillId="0" borderId="31" xfId="1" applyNumberFormat="1" applyFont="1" applyBorder="1"/>
    <xf numFmtId="174" fontId="6" fillId="0" borderId="32" xfId="1" applyNumberFormat="1" applyFont="1" applyFill="1" applyBorder="1"/>
    <xf numFmtId="166" fontId="6" fillId="0" borderId="31" xfId="1" applyNumberFormat="1" applyFont="1" applyFill="1" applyBorder="1"/>
    <xf numFmtId="174" fontId="6" fillId="0" borderId="1" xfId="1" applyNumberFormat="1" applyFont="1" applyFill="1" applyBorder="1"/>
    <xf numFmtId="174" fontId="6" fillId="0" borderId="31" xfId="1" applyNumberFormat="1" applyFont="1" applyBorder="1"/>
    <xf numFmtId="166" fontId="6" fillId="0" borderId="36" xfId="1" applyNumberFormat="1" applyFont="1" applyBorder="1"/>
    <xf numFmtId="174" fontId="6" fillId="0" borderId="30" xfId="1" applyNumberFormat="1" applyFont="1" applyFill="1" applyBorder="1"/>
    <xf numFmtId="166" fontId="6" fillId="0" borderId="36" xfId="1" applyNumberFormat="1" applyFont="1" applyFill="1" applyBorder="1"/>
    <xf numFmtId="174" fontId="6" fillId="0" borderId="0" xfId="1" applyNumberFormat="1" applyFont="1" applyFill="1" applyBorder="1"/>
    <xf numFmtId="174" fontId="6" fillId="0" borderId="36" xfId="1" applyNumberFormat="1" applyFont="1" applyBorder="1"/>
    <xf numFmtId="0" fontId="58" fillId="0" borderId="0" xfId="0" applyFont="1" applyAlignment="1">
      <alignment horizontal="center" wrapText="1"/>
    </xf>
    <xf numFmtId="9" fontId="6" fillId="0" borderId="0" xfId="0" applyNumberFormat="1" applyFont="1" applyAlignment="1">
      <alignment horizontal="right" indent="1"/>
    </xf>
    <xf numFmtId="164" fontId="6" fillId="0" borderId="0" xfId="0" applyNumberFormat="1" applyFont="1"/>
    <xf numFmtId="9" fontId="58" fillId="0" borderId="0" xfId="0" applyNumberFormat="1" applyFont="1" applyAlignment="1">
      <alignment horizontal="right" indent="1"/>
    </xf>
    <xf numFmtId="164" fontId="58" fillId="0" borderId="0" xfId="0" applyNumberFormat="1" applyFont="1"/>
    <xf numFmtId="9" fontId="58" fillId="0" borderId="0" xfId="0" applyNumberFormat="1" applyFont="1"/>
    <xf numFmtId="0" fontId="4" fillId="0" borderId="0" xfId="0" applyFont="1"/>
    <xf numFmtId="164" fontId="4" fillId="0" borderId="0" xfId="0" applyNumberFormat="1" applyFont="1"/>
    <xf numFmtId="166" fontId="6" fillId="0" borderId="0" xfId="1" applyNumberFormat="1" applyFont="1"/>
    <xf numFmtId="44" fontId="6" fillId="0" borderId="0" xfId="4" applyFont="1"/>
    <xf numFmtId="0" fontId="6" fillId="0" borderId="24" xfId="0" applyFont="1" applyBorder="1"/>
    <xf numFmtId="0" fontId="6" fillId="0" borderId="37" xfId="0" applyFont="1" applyBorder="1"/>
    <xf numFmtId="166" fontId="4" fillId="0" borderId="3" xfId="1" applyNumberFormat="1" applyFont="1" applyBorder="1"/>
    <xf numFmtId="167" fontId="4" fillId="0" borderId="3" xfId="4" applyNumberFormat="1" applyFont="1" applyBorder="1"/>
    <xf numFmtId="44" fontId="4" fillId="0" borderId="3" xfId="4" applyFont="1" applyBorder="1"/>
    <xf numFmtId="16" fontId="6" fillId="0" borderId="0" xfId="0" applyNumberFormat="1" applyFont="1"/>
    <xf numFmtId="8" fontId="6" fillId="0" borderId="0" xfId="0" applyNumberFormat="1" applyFont="1"/>
    <xf numFmtId="166" fontId="59" fillId="0" borderId="0" xfId="1" applyNumberFormat="1" applyFont="1"/>
    <xf numFmtId="167" fontId="59" fillId="0" borderId="0" xfId="4" applyNumberFormat="1" applyFont="1"/>
    <xf numFmtId="44" fontId="6" fillId="0" borderId="0" xfId="0" applyNumberFormat="1" applyFont="1"/>
    <xf numFmtId="43" fontId="6" fillId="0" borderId="0" xfId="1" applyFont="1"/>
    <xf numFmtId="0" fontId="6" fillId="0" borderId="0" xfId="0" applyFont="1" applyAlignment="1">
      <alignment horizontal="center" vertical="center"/>
    </xf>
    <xf numFmtId="43" fontId="6" fillId="0" borderId="0" xfId="1" applyNumberFormat="1" applyFont="1"/>
    <xf numFmtId="43" fontId="61" fillId="0" borderId="0" xfId="1" applyNumberFormat="1" applyFont="1"/>
    <xf numFmtId="166" fontId="61" fillId="0" borderId="0" xfId="1" applyNumberFormat="1" applyFont="1"/>
    <xf numFmtId="0" fontId="56" fillId="0" borderId="0" xfId="0" applyFont="1"/>
    <xf numFmtId="166" fontId="56" fillId="0" borderId="0" xfId="1" applyNumberFormat="1" applyFont="1"/>
    <xf numFmtId="43" fontId="62" fillId="0" borderId="0" xfId="0" applyNumberFormat="1" applyFont="1"/>
    <xf numFmtId="166" fontId="56" fillId="0" borderId="0" xfId="0" applyNumberFormat="1" applyFont="1"/>
    <xf numFmtId="43" fontId="56" fillId="0" borderId="0" xfId="1" applyNumberFormat="1" applyFont="1"/>
    <xf numFmtId="175" fontId="61" fillId="0" borderId="0" xfId="1" applyNumberFormat="1" applyFont="1"/>
    <xf numFmtId="43" fontId="6" fillId="0" borderId="0" xfId="0" applyNumberFormat="1" applyFont="1"/>
    <xf numFmtId="166" fontId="4" fillId="0" borderId="0" xfId="1" applyNumberFormat="1" applyFont="1"/>
    <xf numFmtId="166" fontId="6" fillId="0" borderId="0" xfId="0" applyNumberFormat="1" applyFont="1"/>
    <xf numFmtId="0" fontId="6" fillId="0" borderId="31" xfId="0" applyFont="1" applyBorder="1"/>
    <xf numFmtId="0" fontId="6" fillId="0" borderId="1" xfId="0" applyFont="1" applyBorder="1"/>
    <xf numFmtId="43" fontId="6" fillId="0" borderId="1" xfId="1" applyFont="1" applyBorder="1"/>
    <xf numFmtId="166" fontId="6" fillId="0" borderId="32" xfId="1" applyNumberFormat="1" applyFont="1" applyBorder="1"/>
    <xf numFmtId="0" fontId="6" fillId="0" borderId="36" xfId="0" applyFont="1" applyBorder="1"/>
    <xf numFmtId="166" fontId="6" fillId="0" borderId="0" xfId="1" applyNumberFormat="1" applyFont="1" applyBorder="1"/>
    <xf numFmtId="166" fontId="6" fillId="0" borderId="30" xfId="1" applyNumberFormat="1" applyFont="1" applyBorder="1"/>
    <xf numFmtId="43" fontId="6" fillId="0" borderId="0" xfId="1" applyFont="1" applyBorder="1"/>
    <xf numFmtId="0" fontId="58" fillId="0" borderId="36" xfId="0" applyFont="1" applyBorder="1"/>
    <xf numFmtId="166" fontId="58" fillId="0" borderId="0" xfId="1" applyNumberFormat="1" applyFont="1" applyBorder="1"/>
    <xf numFmtId="43" fontId="63" fillId="0" borderId="0" xfId="1" applyFont="1" applyBorder="1"/>
    <xf numFmtId="0" fontId="6" fillId="0" borderId="34" xfId="0" applyFont="1" applyBorder="1"/>
    <xf numFmtId="166" fontId="6" fillId="0" borderId="2" xfId="1" applyNumberFormat="1" applyFont="1" applyBorder="1"/>
    <xf numFmtId="166" fontId="6" fillId="0" borderId="35" xfId="1" applyNumberFormat="1" applyFont="1" applyBorder="1"/>
    <xf numFmtId="0" fontId="6" fillId="0" borderId="0" xfId="0" applyFont="1" applyAlignment="1">
      <alignment horizontal="center"/>
    </xf>
    <xf numFmtId="0" fontId="6" fillId="4" borderId="3" xfId="0" applyFont="1" applyFill="1" applyBorder="1"/>
    <xf numFmtId="0" fontId="6" fillId="4" borderId="3" xfId="0" applyFont="1" applyFill="1" applyBorder="1" applyAlignment="1">
      <alignment horizontal="center"/>
    </xf>
    <xf numFmtId="43" fontId="6" fillId="4" borderId="3" xfId="1" applyFont="1" applyFill="1" applyBorder="1"/>
    <xf numFmtId="0" fontId="6" fillId="0" borderId="0" xfId="0" applyFont="1" applyAlignment="1">
      <alignment vertical="center"/>
    </xf>
    <xf numFmtId="0" fontId="4" fillId="4" borderId="3" xfId="0" applyFont="1" applyFill="1" applyBorder="1" applyAlignment="1">
      <alignmen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vertical="center" wrapText="1"/>
    </xf>
    <xf numFmtId="0" fontId="4" fillId="0" borderId="0" xfId="0" applyFont="1" applyAlignment="1">
      <alignment vertical="center"/>
    </xf>
    <xf numFmtId="0" fontId="55" fillId="0" borderId="0" xfId="0" applyFont="1" applyAlignment="1">
      <alignment vertical="center"/>
    </xf>
    <xf numFmtId="0" fontId="0" fillId="0" borderId="0" xfId="0" applyAlignment="1">
      <alignment vertical="center"/>
    </xf>
    <xf numFmtId="0" fontId="4" fillId="0" borderId="0" xfId="0" applyFont="1" applyBorder="1"/>
    <xf numFmtId="0" fontId="4" fillId="0" borderId="0" xfId="0" applyFont="1" applyBorder="1" applyAlignment="1">
      <alignment horizontal="center"/>
    </xf>
    <xf numFmtId="0" fontId="61" fillId="0" borderId="0" xfId="0" applyFont="1" applyBorder="1"/>
    <xf numFmtId="9" fontId="6" fillId="0" borderId="0" xfId="2" applyFont="1"/>
    <xf numFmtId="44" fontId="61" fillId="0" borderId="0" xfId="4" applyFont="1"/>
    <xf numFmtId="167" fontId="6" fillId="0" borderId="0" xfId="0" applyNumberFormat="1" applyFont="1"/>
    <xf numFmtId="167" fontId="4" fillId="0" borderId="0" xfId="0" applyNumberFormat="1" applyFont="1"/>
    <xf numFmtId="10" fontId="6" fillId="0" borderId="0" xfId="2" applyNumberFormat="1" applyFont="1"/>
    <xf numFmtId="9" fontId="61" fillId="0" borderId="0" xfId="0" applyNumberFormat="1" applyFont="1"/>
    <xf numFmtId="9" fontId="61" fillId="0" borderId="0" xfId="4" applyNumberFormat="1" applyFont="1"/>
    <xf numFmtId="0" fontId="58" fillId="0" borderId="0" xfId="0" applyFont="1"/>
    <xf numFmtId="166" fontId="63" fillId="0" borderId="0" xfId="1" applyNumberFormat="1" applyFont="1"/>
    <xf numFmtId="0" fontId="0" fillId="0" borderId="0" xfId="0" applyAlignment="1">
      <alignment horizontal="center" vertical="center"/>
    </xf>
    <xf numFmtId="176" fontId="61" fillId="0" borderId="0" xfId="2" applyNumberFormat="1" applyFont="1"/>
    <xf numFmtId="44" fontId="0" fillId="0" borderId="0" xfId="0" applyNumberFormat="1"/>
    <xf numFmtId="9" fontId="0" fillId="0" borderId="0" xfId="0" applyNumberFormat="1"/>
    <xf numFmtId="164" fontId="0" fillId="0" borderId="0" xfId="4" applyNumberFormat="1" applyFont="1"/>
    <xf numFmtId="0" fontId="4" fillId="0" borderId="0" xfId="0" applyFont="1" applyAlignment="1">
      <alignment horizontal="center" vertical="center"/>
    </xf>
    <xf numFmtId="43" fontId="61" fillId="0" borderId="0" xfId="1" applyNumberFormat="1" applyFont="1" applyFill="1"/>
    <xf numFmtId="166" fontId="64" fillId="0" borderId="0" xfId="1" applyNumberFormat="1" applyFont="1"/>
    <xf numFmtId="166" fontId="61" fillId="0" borderId="0" xfId="1" applyNumberFormat="1" applyFont="1" applyFill="1"/>
    <xf numFmtId="0" fontId="56" fillId="0" borderId="0" xfId="0" applyFont="1" applyFill="1"/>
    <xf numFmtId="166" fontId="56" fillId="0" borderId="0" xfId="1" applyNumberFormat="1" applyFont="1" applyFill="1"/>
    <xf numFmtId="43" fontId="62" fillId="0" borderId="0" xfId="0" applyNumberFormat="1" applyFont="1" applyFill="1"/>
    <xf numFmtId="175" fontId="61" fillId="0" borderId="0" xfId="1" applyNumberFormat="1" applyFont="1" applyFill="1"/>
    <xf numFmtId="166" fontId="4" fillId="0" borderId="0" xfId="1" applyNumberFormat="1" applyFont="1" applyFill="1"/>
    <xf numFmtId="0" fontId="6" fillId="0" borderId="0" xfId="1" applyNumberFormat="1" applyFont="1"/>
    <xf numFmtId="166" fontId="56" fillId="0" borderId="0" xfId="0" applyNumberFormat="1" applyFont="1" applyFill="1"/>
    <xf numFmtId="166" fontId="6" fillId="0" borderId="10" xfId="1" applyNumberFormat="1" applyFont="1" applyBorder="1"/>
    <xf numFmtId="166" fontId="6" fillId="0" borderId="7" xfId="1" applyNumberFormat="1" applyFont="1" applyBorder="1"/>
    <xf numFmtId="166" fontId="6" fillId="0" borderId="11" xfId="1" applyNumberFormat="1" applyFont="1" applyBorder="1"/>
    <xf numFmtId="166" fontId="6" fillId="0" borderId="14" xfId="1" applyNumberFormat="1" applyFont="1" applyBorder="1"/>
    <xf numFmtId="166" fontId="6" fillId="0" borderId="5" xfId="1" applyNumberFormat="1" applyFont="1" applyBorder="1"/>
    <xf numFmtId="166" fontId="6" fillId="0" borderId="15" xfId="1" applyNumberFormat="1" applyFont="1" applyBorder="1"/>
    <xf numFmtId="0" fontId="63" fillId="0" borderId="36" xfId="0" applyFont="1" applyBorder="1"/>
    <xf numFmtId="166" fontId="63" fillId="0" borderId="0" xfId="1" applyNumberFormat="1" applyFont="1" applyBorder="1"/>
    <xf numFmtId="166" fontId="63" fillId="0" borderId="30" xfId="1" applyNumberFormat="1" applyFont="1" applyBorder="1"/>
    <xf numFmtId="43" fontId="6" fillId="0" borderId="2" xfId="1" applyFont="1" applyBorder="1"/>
    <xf numFmtId="9" fontId="6" fillId="0" borderId="0" xfId="4" applyNumberFormat="1" applyFont="1"/>
    <xf numFmtId="0" fontId="4" fillId="0" borderId="0" xfId="0" applyFont="1" applyFill="1" applyBorder="1" applyAlignment="1">
      <alignment horizontal="center" vertical="center" wrapText="1"/>
    </xf>
    <xf numFmtId="0" fontId="55" fillId="0" borderId="0" xfId="0" applyFont="1" applyAlignment="1">
      <alignment horizontal="center" vertical="center"/>
    </xf>
    <xf numFmtId="0" fontId="4" fillId="0" borderId="3" xfId="0" applyFont="1" applyFill="1" applyBorder="1" applyAlignment="1">
      <alignment wrapText="1"/>
    </xf>
    <xf numFmtId="0" fontId="6" fillId="0" borderId="0" xfId="0" applyFont="1" applyFill="1" applyAlignment="1">
      <alignment wrapText="1"/>
    </xf>
    <xf numFmtId="0" fontId="6" fillId="5" borderId="0" xfId="0" applyFont="1" applyFill="1"/>
    <xf numFmtId="0" fontId="4" fillId="3" borderId="7" xfId="0" applyFont="1" applyFill="1" applyBorder="1"/>
    <xf numFmtId="43" fontId="4" fillId="3" borderId="7" xfId="1" applyFont="1" applyFill="1" applyBorder="1"/>
    <xf numFmtId="166" fontId="4" fillId="3" borderId="7" xfId="1" applyNumberFormat="1" applyFont="1" applyFill="1" applyBorder="1"/>
    <xf numFmtId="0" fontId="4" fillId="3" borderId="5" xfId="0"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43" fontId="4" fillId="3" borderId="5" xfId="1" applyFont="1" applyFill="1" applyBorder="1" applyAlignment="1">
      <alignment horizontal="center" vertical="center" wrapText="1"/>
    </xf>
    <xf numFmtId="0" fontId="6" fillId="3" borderId="3" xfId="0" applyFont="1" applyFill="1" applyBorder="1"/>
    <xf numFmtId="0" fontId="6" fillId="3" borderId="3" xfId="0" applyFont="1" applyFill="1" applyBorder="1" applyAlignment="1">
      <alignment horizontal="center"/>
    </xf>
    <xf numFmtId="43" fontId="6" fillId="3" borderId="3" xfId="1" applyFont="1" applyFill="1" applyBorder="1"/>
    <xf numFmtId="0" fontId="4" fillId="0" borderId="1" xfId="0" applyFont="1" applyBorder="1"/>
    <xf numFmtId="0" fontId="6" fillId="0" borderId="1" xfId="0" applyFont="1" applyBorder="1" applyAlignment="1">
      <alignment horizontal="center"/>
    </xf>
    <xf numFmtId="166" fontId="6" fillId="0" borderId="1" xfId="1" applyNumberFormat="1" applyFont="1" applyBorder="1"/>
    <xf numFmtId="167" fontId="6" fillId="3" borderId="0" xfId="4" applyNumberFormat="1" applyFont="1" applyFill="1"/>
    <xf numFmtId="44" fontId="6" fillId="3" borderId="0" xfId="0" applyNumberFormat="1" applyFont="1" applyFill="1"/>
    <xf numFmtId="0" fontId="4" fillId="6" borderId="3" xfId="0" applyFont="1" applyFill="1" applyBorder="1" applyAlignment="1">
      <alignment vertical="center"/>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6" borderId="3" xfId="0" applyFont="1" applyFill="1" applyBorder="1" applyAlignment="1">
      <alignment vertical="center" wrapText="1"/>
    </xf>
    <xf numFmtId="0" fontId="65" fillId="0" borderId="0" xfId="0" applyFont="1" applyAlignment="1">
      <alignment horizontal="left"/>
    </xf>
    <xf numFmtId="0" fontId="66" fillId="0" borderId="0" xfId="0" applyFont="1" applyAlignment="1">
      <alignment horizontal="left" vertical="top" wrapText="1"/>
    </xf>
    <xf numFmtId="0" fontId="67" fillId="0" borderId="0" xfId="0" applyFont="1" applyAlignment="1">
      <alignment horizontal="left" vertical="top" wrapText="1"/>
    </xf>
    <xf numFmtId="0" fontId="67" fillId="0" borderId="0" xfId="0" applyFont="1" applyAlignment="1">
      <alignment horizontal="left"/>
    </xf>
    <xf numFmtId="0" fontId="66" fillId="0" borderId="44" xfId="0" applyFont="1" applyBorder="1" applyAlignment="1">
      <alignment horizontal="center" wrapText="1"/>
    </xf>
    <xf numFmtId="0" fontId="66" fillId="0" borderId="0" xfId="0" applyFont="1" applyAlignment="1">
      <alignment horizontal="left"/>
    </xf>
    <xf numFmtId="170" fontId="67" fillId="0" borderId="0" xfId="0" applyNumberFormat="1" applyFont="1" applyAlignment="1">
      <alignment horizontal="right"/>
    </xf>
    <xf numFmtId="171" fontId="67" fillId="0" borderId="0" xfId="0" applyNumberFormat="1" applyFont="1" applyAlignment="1">
      <alignment horizontal="right"/>
    </xf>
    <xf numFmtId="0" fontId="18" fillId="0" borderId="0" xfId="0" applyFont="1" applyAlignment="1">
      <alignment horizontal="left"/>
    </xf>
    <xf numFmtId="0" fontId="18" fillId="0" borderId="0" xfId="0" applyFont="1" applyBorder="1" applyAlignment="1">
      <alignment horizontal="left"/>
    </xf>
    <xf numFmtId="0" fontId="7" fillId="0" borderId="0" xfId="0" applyNumberFormat="1" applyFont="1" applyBorder="1" applyAlignment="1">
      <alignment horizontal="right"/>
    </xf>
    <xf numFmtId="0" fontId="7" fillId="0" borderId="2" xfId="0" applyNumberFormat="1" applyFont="1" applyBorder="1" applyAlignment="1">
      <alignment horizontal="right"/>
    </xf>
    <xf numFmtId="0" fontId="18" fillId="7" borderId="3" xfId="0" applyFont="1" applyFill="1" applyBorder="1"/>
    <xf numFmtId="0" fontId="18" fillId="7" borderId="3" xfId="0" applyFont="1" applyFill="1" applyBorder="1" applyAlignment="1">
      <alignment horizontal="left"/>
    </xf>
    <xf numFmtId="0" fontId="18" fillId="7" borderId="0" xfId="0" applyFont="1" applyFill="1"/>
    <xf numFmtId="0" fontId="18" fillId="7" borderId="0" xfId="0" applyFont="1" applyFill="1" applyAlignment="1">
      <alignment horizontal="left"/>
    </xf>
    <xf numFmtId="0" fontId="18" fillId="8" borderId="3" xfId="0" applyFont="1" applyFill="1" applyBorder="1"/>
    <xf numFmtId="0" fontId="18" fillId="8" borderId="3" xfId="0" applyFont="1" applyFill="1" applyBorder="1" applyAlignment="1">
      <alignment horizontal="left"/>
    </xf>
    <xf numFmtId="0" fontId="18" fillId="8" borderId="0" xfId="0" applyFont="1" applyFill="1"/>
    <xf numFmtId="0" fontId="18" fillId="8" borderId="0" xfId="0" applyFont="1" applyFill="1" applyAlignment="1">
      <alignment horizontal="left"/>
    </xf>
    <xf numFmtId="0" fontId="18" fillId="9" borderId="3" xfId="0" applyFont="1" applyFill="1" applyBorder="1"/>
    <xf numFmtId="0" fontId="18" fillId="9" borderId="3" xfId="0" applyFont="1" applyFill="1" applyBorder="1" applyAlignment="1">
      <alignment horizontal="left"/>
    </xf>
    <xf numFmtId="0" fontId="18" fillId="9" borderId="0" xfId="0" applyFont="1" applyFill="1"/>
    <xf numFmtId="0" fontId="18" fillId="9" borderId="0" xfId="0" applyFont="1" applyFill="1" applyAlignment="1">
      <alignment horizontal="left"/>
    </xf>
    <xf numFmtId="0" fontId="18" fillId="8" borderId="0" xfId="0" applyFont="1" applyFill="1" applyAlignment="1"/>
    <xf numFmtId="0" fontId="6" fillId="8" borderId="0" xfId="0" applyFont="1" applyFill="1" applyAlignment="1"/>
    <xf numFmtId="0" fontId="18" fillId="10" borderId="3" xfId="0" applyFont="1" applyFill="1" applyBorder="1"/>
    <xf numFmtId="0" fontId="18" fillId="10" borderId="3" xfId="0" applyFont="1" applyFill="1" applyBorder="1" applyAlignment="1">
      <alignment horizontal="left"/>
    </xf>
    <xf numFmtId="0" fontId="18" fillId="10" borderId="0" xfId="0" applyFont="1" applyFill="1" applyBorder="1"/>
    <xf numFmtId="0" fontId="18" fillId="10" borderId="0" xfId="0" applyFont="1" applyFill="1" applyBorder="1" applyAlignment="1">
      <alignment horizontal="left"/>
    </xf>
    <xf numFmtId="0" fontId="18" fillId="10" borderId="0" xfId="0" applyFont="1" applyFill="1"/>
    <xf numFmtId="0" fontId="18" fillId="10" borderId="0" xfId="0" applyFont="1" applyFill="1" applyAlignment="1">
      <alignment horizontal="left"/>
    </xf>
    <xf numFmtId="0" fontId="18" fillId="11" borderId="3" xfId="0" applyFont="1" applyFill="1" applyBorder="1"/>
    <xf numFmtId="0" fontId="18" fillId="11" borderId="3" xfId="0" applyFont="1" applyFill="1" applyBorder="1" applyAlignment="1">
      <alignment horizontal="left"/>
    </xf>
    <xf numFmtId="0" fontId="18" fillId="11" borderId="0" xfId="0" applyFont="1" applyFill="1" applyBorder="1"/>
    <xf numFmtId="6" fontId="18" fillId="11" borderId="0" xfId="0" applyNumberFormat="1" applyFont="1" applyFill="1" applyAlignment="1">
      <alignment horizontal="left"/>
    </xf>
    <xf numFmtId="0" fontId="18" fillId="11" borderId="0" xfId="0" applyFont="1" applyFill="1"/>
    <xf numFmtId="0" fontId="18" fillId="11" borderId="0" xfId="0" applyFont="1" applyFill="1" applyAlignment="1">
      <alignment horizontal="left"/>
    </xf>
    <xf numFmtId="0" fontId="6" fillId="12" borderId="3" xfId="0" applyFont="1" applyFill="1" applyBorder="1"/>
    <xf numFmtId="0" fontId="6" fillId="12" borderId="3" xfId="0" applyFont="1" applyFill="1" applyBorder="1" applyAlignment="1">
      <alignment horizontal="left"/>
    </xf>
    <xf numFmtId="0" fontId="18" fillId="12" borderId="3" xfId="0" applyFont="1" applyFill="1" applyBorder="1"/>
    <xf numFmtId="0" fontId="6" fillId="12" borderId="0" xfId="0" applyFont="1" applyFill="1" applyBorder="1"/>
    <xf numFmtId="0" fontId="18" fillId="12" borderId="0" xfId="0" applyNumberFormat="1" applyFont="1" applyFill="1" applyBorder="1" applyAlignment="1">
      <alignment horizontal="left"/>
    </xf>
    <xf numFmtId="0" fontId="18" fillId="12" borderId="0" xfId="0" applyFont="1" applyFill="1" applyBorder="1"/>
    <xf numFmtId="3" fontId="29" fillId="12" borderId="0" xfId="0" applyNumberFormat="1" applyFont="1" applyFill="1" applyBorder="1" applyAlignment="1">
      <alignment horizontal="left" vertical="center"/>
    </xf>
    <xf numFmtId="0" fontId="33" fillId="0" borderId="4" xfId="0" applyFont="1" applyFill="1" applyBorder="1" applyAlignment="1">
      <alignment horizontal="left" vertical="center" wrapText="1"/>
    </xf>
    <xf numFmtId="164" fontId="13" fillId="0" borderId="0" xfId="0" applyNumberFormat="1" applyFont="1" applyBorder="1" applyAlignment="1">
      <alignment horizontal="right" vertical="center"/>
    </xf>
    <xf numFmtId="0" fontId="24" fillId="2" borderId="18" xfId="0" applyFont="1" applyFill="1" applyBorder="1" applyAlignment="1">
      <alignment horizontal="center" vertical="center" wrapText="1"/>
    </xf>
    <xf numFmtId="0" fontId="24" fillId="2" borderId="18" xfId="0" applyFont="1" applyFill="1" applyBorder="1" applyAlignment="1">
      <alignment horizontal="center" vertical="center"/>
    </xf>
    <xf numFmtId="0" fontId="10" fillId="0" borderId="5" xfId="0" applyFont="1" applyBorder="1" applyAlignment="1">
      <alignment horizontal="left" vertical="center"/>
    </xf>
    <xf numFmtId="0" fontId="32" fillId="0" borderId="7" xfId="0" applyFont="1" applyBorder="1" applyAlignment="1">
      <alignment horizontal="left" vertical="top" wrapText="1"/>
    </xf>
    <xf numFmtId="0" fontId="32" fillId="0" borderId="0" xfId="0" applyFont="1" applyBorder="1" applyAlignment="1">
      <alignment horizontal="left" vertical="top" wrapText="1"/>
    </xf>
    <xf numFmtId="0" fontId="6" fillId="0" borderId="0" xfId="0" applyFont="1" applyBorder="1" applyAlignment="1">
      <alignment horizontal="left" vertical="center"/>
    </xf>
    <xf numFmtId="0" fontId="35" fillId="2" borderId="10"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25" fillId="0" borderId="7" xfId="0" applyFont="1" applyBorder="1" applyAlignment="1">
      <alignment horizontal="left"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5" xfId="0" applyFont="1" applyBorder="1" applyAlignment="1">
      <alignment horizontal="left" vertical="center"/>
    </xf>
    <xf numFmtId="0" fontId="26" fillId="0" borderId="0" xfId="0" applyFont="1" applyBorder="1" applyAlignment="1">
      <alignment horizontal="left" wrapText="1"/>
    </xf>
    <xf numFmtId="0" fontId="26" fillId="0" borderId="1" xfId="0" applyFont="1" applyBorder="1" applyAlignment="1">
      <alignment horizontal="left" wrapText="1"/>
    </xf>
    <xf numFmtId="0" fontId="6" fillId="0" borderId="1" xfId="0" applyFont="1" applyFill="1" applyBorder="1" applyAlignment="1">
      <alignment horizontal="left" wrapText="1"/>
    </xf>
    <xf numFmtId="0" fontId="52" fillId="0" borderId="33" xfId="0" applyFont="1" applyBorder="1" applyAlignment="1">
      <alignment horizontal="center" vertical="center" textRotation="90" wrapText="1"/>
    </xf>
    <xf numFmtId="0" fontId="52" fillId="0" borderId="38" xfId="0" applyFont="1" applyBorder="1" applyAlignment="1">
      <alignment horizontal="center" vertical="center" textRotation="90" wrapText="1"/>
    </xf>
    <xf numFmtId="0" fontId="52" fillId="0" borderId="39" xfId="0" applyFont="1" applyBorder="1" applyAlignment="1">
      <alignment horizontal="center" vertical="center" textRotation="90" wrapText="1"/>
    </xf>
    <xf numFmtId="2" fontId="54" fillId="0" borderId="2" xfId="0" applyNumberFormat="1" applyFont="1" applyBorder="1" applyAlignment="1">
      <alignment horizontal="center" vertical="center"/>
    </xf>
    <xf numFmtId="0" fontId="54" fillId="0" borderId="2" xfId="0" applyFont="1" applyBorder="1" applyAlignment="1">
      <alignment horizontal="center" vertical="center"/>
    </xf>
    <xf numFmtId="164" fontId="54" fillId="0" borderId="2" xfId="0" applyNumberFormat="1" applyFont="1" applyBorder="1" applyAlignment="1">
      <alignment vertical="center"/>
    </xf>
    <xf numFmtId="0" fontId="54" fillId="0" borderId="2" xfId="0" applyFont="1" applyBorder="1" applyAlignment="1">
      <alignment vertical="center"/>
    </xf>
    <xf numFmtId="165" fontId="54" fillId="0" borderId="2" xfId="0" applyNumberFormat="1" applyFont="1" applyBorder="1" applyAlignment="1">
      <alignment vertical="center"/>
    </xf>
    <xf numFmtId="165" fontId="54" fillId="0" borderId="2" xfId="0" applyNumberFormat="1" applyFont="1" applyBorder="1" applyAlignment="1"/>
    <xf numFmtId="167" fontId="54" fillId="0" borderId="2" xfId="4" applyNumberFormat="1" applyFont="1" applyBorder="1" applyAlignment="1">
      <alignment vertical="center"/>
    </xf>
    <xf numFmtId="44" fontId="54" fillId="0" borderId="2" xfId="4" applyFont="1" applyBorder="1" applyAlignment="1">
      <alignment vertical="center"/>
    </xf>
    <xf numFmtId="44" fontId="54" fillId="0" borderId="2" xfId="4" applyFont="1" applyBorder="1" applyAlignment="1"/>
    <xf numFmtId="0" fontId="52" fillId="0" borderId="42" xfId="0" applyFont="1" applyBorder="1" applyAlignment="1">
      <alignment horizontal="center" vertical="center"/>
    </xf>
    <xf numFmtId="164" fontId="52" fillId="0" borderId="42" xfId="0" applyNumberFormat="1" applyFont="1" applyBorder="1" applyAlignment="1">
      <alignment vertical="center"/>
    </xf>
    <xf numFmtId="164" fontId="9" fillId="0" borderId="42" xfId="0" applyNumberFormat="1" applyFont="1" applyBorder="1" applyAlignment="1">
      <alignment vertical="center"/>
    </xf>
    <xf numFmtId="164" fontId="9" fillId="0" borderId="43" xfId="0" applyNumberFormat="1" applyFont="1" applyBorder="1" applyAlignment="1">
      <alignment vertical="center"/>
    </xf>
    <xf numFmtId="164" fontId="52" fillId="0" borderId="2" xfId="4" applyNumberFormat="1" applyFont="1" applyBorder="1" applyAlignment="1"/>
    <xf numFmtId="164" fontId="9" fillId="0" borderId="2" xfId="4" applyNumberFormat="1" applyFont="1" applyBorder="1" applyAlignment="1"/>
    <xf numFmtId="164" fontId="52" fillId="0" borderId="40" xfId="0" applyNumberFormat="1" applyFont="1" applyBorder="1" applyAlignment="1">
      <alignment vertical="center"/>
    </xf>
    <xf numFmtId="164" fontId="52" fillId="0" borderId="41" xfId="0" applyNumberFormat="1" applyFont="1" applyBorder="1" applyAlignment="1">
      <alignment vertical="center"/>
    </xf>
    <xf numFmtId="169" fontId="52" fillId="0" borderId="3" xfId="0" applyNumberFormat="1" applyFont="1" applyBorder="1" applyAlignment="1">
      <alignment horizontal="center" vertical="center"/>
    </xf>
    <xf numFmtId="0" fontId="52" fillId="0" borderId="3" xfId="0" applyFont="1" applyBorder="1" applyAlignment="1">
      <alignment horizontal="center" vertical="center"/>
    </xf>
    <xf numFmtId="164" fontId="52" fillId="0" borderId="3" xfId="0" applyNumberFormat="1" applyFont="1" applyBorder="1" applyAlignment="1">
      <alignment vertical="center"/>
    </xf>
    <xf numFmtId="164" fontId="9" fillId="0" borderId="3" xfId="0" applyNumberFormat="1" applyFont="1" applyBorder="1" applyAlignment="1">
      <alignment vertical="center"/>
    </xf>
    <xf numFmtId="164" fontId="9" fillId="0" borderId="37" xfId="0" applyNumberFormat="1" applyFont="1" applyBorder="1" applyAlignment="1">
      <alignment vertical="center"/>
    </xf>
    <xf numFmtId="169" fontId="52" fillId="0" borderId="40" xfId="0" applyNumberFormat="1" applyFont="1" applyBorder="1" applyAlignment="1">
      <alignment horizontal="center" vertical="center"/>
    </xf>
    <xf numFmtId="0" fontId="52" fillId="0" borderId="40" xfId="0" applyFont="1" applyBorder="1" applyAlignment="1">
      <alignment horizontal="center" vertical="center"/>
    </xf>
    <xf numFmtId="0" fontId="52" fillId="0" borderId="0" xfId="0" applyFont="1" applyBorder="1" applyAlignment="1">
      <alignment vertical="center" wrapText="1"/>
    </xf>
    <xf numFmtId="0" fontId="5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36" xfId="0" applyFont="1" applyBorder="1" applyAlignment="1">
      <alignment horizontal="center" wrapText="1"/>
    </xf>
    <xf numFmtId="0" fontId="9" fillId="0" borderId="0" xfId="0" applyFont="1" applyBorder="1" applyAlignment="1">
      <alignment horizontal="center" wrapText="1"/>
    </xf>
    <xf numFmtId="0" fontId="9" fillId="0" borderId="30" xfId="0" applyFont="1" applyBorder="1" applyAlignment="1">
      <alignment horizontal="center" wrapText="1"/>
    </xf>
    <xf numFmtId="0" fontId="52" fillId="0" borderId="2" xfId="0" applyFont="1" applyBorder="1" applyAlignment="1">
      <alignment horizontal="center"/>
    </xf>
    <xf numFmtId="0" fontId="52" fillId="0" borderId="3" xfId="0" applyFont="1" applyBorder="1" applyAlignment="1">
      <alignment horizontal="center"/>
    </xf>
    <xf numFmtId="9" fontId="52" fillId="0" borderId="3" xfId="2" applyFont="1" applyBorder="1" applyAlignment="1">
      <alignment horizontal="center"/>
    </xf>
    <xf numFmtId="0" fontId="53" fillId="0" borderId="0" xfId="0" applyFont="1" applyAlignment="1">
      <alignment horizontal="center" wrapText="1"/>
    </xf>
    <xf numFmtId="0" fontId="9" fillId="0" borderId="0" xfId="0" applyFont="1" applyAlignment="1">
      <alignment horizontal="center" wrapText="1"/>
    </xf>
    <xf numFmtId="14" fontId="52" fillId="0" borderId="2" xfId="0" applyNumberFormat="1" applyFont="1" applyBorder="1" applyAlignment="1">
      <alignment horizontal="center"/>
    </xf>
    <xf numFmtId="0" fontId="9" fillId="0" borderId="2" xfId="0" applyFont="1" applyBorder="1" applyAlignment="1">
      <alignment horizontal="center"/>
    </xf>
    <xf numFmtId="0" fontId="9" fillId="0" borderId="35" xfId="0" applyFont="1" applyBorder="1" applyAlignment="1">
      <alignment horizontal="center"/>
    </xf>
    <xf numFmtId="0" fontId="52" fillId="0" borderId="24" xfId="0" applyFont="1" applyBorder="1" applyAlignment="1">
      <alignment horizontal="center" wrapText="1"/>
    </xf>
    <xf numFmtId="0" fontId="9" fillId="0" borderId="3" xfId="0" applyFont="1" applyBorder="1" applyAlignment="1">
      <alignment horizontal="center" wrapText="1"/>
    </xf>
    <xf numFmtId="0" fontId="9" fillId="0" borderId="37" xfId="0" applyFont="1" applyBorder="1" applyAlignment="1">
      <alignment horizontal="center" wrapText="1"/>
    </xf>
    <xf numFmtId="0" fontId="52" fillId="0" borderId="36" xfId="0" applyFont="1" applyBorder="1" applyAlignment="1"/>
    <xf numFmtId="0" fontId="9" fillId="0" borderId="0" xfId="0" applyFont="1" applyAlignment="1"/>
    <xf numFmtId="0" fontId="9" fillId="0" borderId="34" xfId="0" applyFont="1" applyBorder="1" applyAlignment="1"/>
    <xf numFmtId="0" fontId="9" fillId="0" borderId="2" xfId="0" applyFont="1" applyBorder="1" applyAlignment="1"/>
    <xf numFmtId="0" fontId="52" fillId="0" borderId="0" xfId="0" applyFont="1" applyBorder="1" applyAlignment="1"/>
    <xf numFmtId="0" fontId="9" fillId="0" borderId="30" xfId="0" applyFont="1" applyBorder="1" applyAlignment="1"/>
    <xf numFmtId="0" fontId="9" fillId="0" borderId="35" xfId="0" applyFont="1" applyBorder="1" applyAlignment="1"/>
    <xf numFmtId="0" fontId="52" fillId="0" borderId="3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9" fillId="0" borderId="36" xfId="0" applyFont="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Border="1" applyAlignment="1">
      <alignment vertical="top" wrapText="1"/>
    </xf>
    <xf numFmtId="0" fontId="52" fillId="0" borderId="0" xfId="0" applyFont="1" applyAlignment="1">
      <alignment horizontal="center" wrapText="1"/>
    </xf>
    <xf numFmtId="0" fontId="52" fillId="0" borderId="30" xfId="0" applyFont="1" applyBorder="1" applyAlignment="1">
      <alignment horizontal="center" wrapText="1"/>
    </xf>
    <xf numFmtId="0" fontId="52" fillId="0" borderId="31" xfId="0" applyFont="1" applyBorder="1" applyAlignment="1">
      <alignment vertical="center"/>
    </xf>
    <xf numFmtId="0" fontId="9" fillId="0" borderId="1" xfId="0" applyFont="1" applyBorder="1" applyAlignment="1">
      <alignment vertical="center"/>
    </xf>
    <xf numFmtId="0" fontId="9" fillId="0" borderId="32" xfId="0" applyFont="1" applyBorder="1" applyAlignment="1">
      <alignment vertical="center"/>
    </xf>
    <xf numFmtId="0" fontId="9" fillId="0" borderId="34" xfId="0" applyFont="1" applyBorder="1" applyAlignment="1">
      <alignment vertical="center"/>
    </xf>
    <xf numFmtId="0" fontId="9" fillId="0" borderId="2" xfId="0" applyFont="1" applyBorder="1" applyAlignment="1">
      <alignment vertical="center"/>
    </xf>
    <xf numFmtId="0" fontId="9" fillId="0" borderId="35" xfId="0" applyFont="1" applyBorder="1" applyAlignment="1">
      <alignment vertical="center"/>
    </xf>
    <xf numFmtId="0" fontId="52" fillId="0" borderId="31" xfId="0" applyFont="1" applyBorder="1" applyAlignment="1">
      <alignment vertical="center" wrapText="1"/>
    </xf>
    <xf numFmtId="0" fontId="9" fillId="0" borderId="1" xfId="0" applyFont="1" applyBorder="1" applyAlignment="1">
      <alignment vertical="center" wrapText="1"/>
    </xf>
    <xf numFmtId="0" fontId="9" fillId="0" borderId="32" xfId="0" applyFont="1" applyBorder="1" applyAlignment="1">
      <alignment vertical="center" wrapText="1"/>
    </xf>
    <xf numFmtId="0" fontId="9" fillId="0" borderId="34" xfId="0" applyFont="1" applyBorder="1" applyAlignment="1">
      <alignment vertical="center" wrapText="1"/>
    </xf>
    <xf numFmtId="0" fontId="9" fillId="0" borderId="2" xfId="0" applyFont="1" applyBorder="1" applyAlignment="1">
      <alignment vertical="center" wrapText="1"/>
    </xf>
    <xf numFmtId="0" fontId="9" fillId="0" borderId="35" xfId="0" applyFont="1" applyBorder="1" applyAlignment="1">
      <alignment vertical="center" wrapText="1"/>
    </xf>
    <xf numFmtId="0" fontId="6" fillId="0" borderId="0" xfId="0" applyFont="1" applyFill="1" applyAlignment="1">
      <alignment horizontal="center"/>
    </xf>
    <xf numFmtId="0" fontId="4" fillId="0" borderId="3" xfId="0" applyFont="1" applyBorder="1" applyAlignment="1">
      <alignment horizontal="center"/>
    </xf>
    <xf numFmtId="0" fontId="56" fillId="0" borderId="1" xfId="0" applyFont="1" applyFill="1" applyBorder="1" applyAlignment="1">
      <alignment horizontal="center"/>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166" fontId="6" fillId="0" borderId="0" xfId="1" applyNumberFormat="1" applyFont="1" applyFill="1" applyAlignment="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166" fontId="60" fillId="3" borderId="7" xfId="1" applyNumberFormat="1" applyFont="1" applyFill="1" applyBorder="1" applyAlignment="1">
      <alignment horizontal="center"/>
    </xf>
  </cellXfs>
  <cellStyles count="9">
    <cellStyle name="Comma" xfId="1" builtinId="3"/>
    <cellStyle name="Currency" xfId="4" builtinId="4"/>
    <cellStyle name="Followed Hyperlink" xfId="5" builtinId="9" hidden="1"/>
    <cellStyle name="Followed Hyperlink" xfId="6" builtinId="9" hidden="1"/>
    <cellStyle name="Followed Hyperlink" xfId="7" builtinId="9" hidden="1"/>
    <cellStyle name="Followed Hyperlink" xfId="8" builtinId="9" hidden="1"/>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isinnerloopparcels-EF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alues Pivot"/>
      <sheetName val="Change from 2013 to"/>
      <sheetName val="Sheet3"/>
      <sheetName val="Land Valuation Calculation"/>
      <sheetName val="gisinnerloopparcels"/>
      <sheetName val="Distro of Assess Chang 13-12"/>
      <sheetName val="Distro of Assess Chang 12-11"/>
      <sheetName val="Distro of Assess Chang 13-08"/>
      <sheetName val="Distro of Assess Chang 13-04"/>
      <sheetName val="Field Definitions"/>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X45"/>
  <sheetViews>
    <sheetView showGridLines="0" tabSelected="1" view="pageBreakPreview" zoomScale="110" zoomScaleNormal="100" zoomScaleSheetLayoutView="110" workbookViewId="0">
      <selection activeCell="D6" sqref="D6"/>
    </sheetView>
  </sheetViews>
  <sheetFormatPr defaultColWidth="8.85546875" defaultRowHeight="14.25" x14ac:dyDescent="0.2"/>
  <cols>
    <col min="1" max="1" width="8.85546875" style="11"/>
    <col min="2" max="2" width="33.7109375" style="11" customWidth="1"/>
    <col min="3" max="3" width="15.7109375" style="486" customWidth="1"/>
    <col min="4" max="4" width="29.85546875" style="11" customWidth="1"/>
    <col min="5" max="5" width="12" style="10" customWidth="1"/>
    <col min="6" max="6" width="25.42578125" style="10" customWidth="1"/>
    <col min="7" max="7" width="24.42578125" style="10" customWidth="1"/>
    <col min="8" max="8" width="11.42578125" style="10" bestFit="1" customWidth="1"/>
    <col min="9" max="9" width="16.140625" style="10" customWidth="1"/>
    <col min="10" max="10" width="15.42578125" style="10" customWidth="1"/>
    <col min="11" max="11" width="8.85546875" style="10"/>
    <col min="12" max="12" width="11" style="10" customWidth="1"/>
    <col min="13" max="13" width="14" style="10" customWidth="1"/>
    <col min="14" max="14" width="24.140625" style="10" bestFit="1" customWidth="1"/>
    <col min="15" max="15" width="56.140625" style="10" bestFit="1" customWidth="1"/>
    <col min="16" max="24" width="8.85546875" style="10"/>
    <col min="25" max="256" width="8.85546875" style="76"/>
    <col min="257" max="257" width="23.140625" style="76" customWidth="1"/>
    <col min="258" max="258" width="17.28515625" style="76" customWidth="1"/>
    <col min="259" max="259" width="8.85546875" style="76"/>
    <col min="260" max="260" width="23.42578125" style="76" customWidth="1"/>
    <col min="261" max="261" width="19.7109375" style="76" customWidth="1"/>
    <col min="262" max="262" width="25.42578125" style="76" customWidth="1"/>
    <col min="263" max="263" width="24.42578125" style="76" customWidth="1"/>
    <col min="264" max="264" width="11.42578125" style="76" bestFit="1" customWidth="1"/>
    <col min="265" max="265" width="16.140625" style="76" customWidth="1"/>
    <col min="266" max="266" width="15.42578125" style="76" customWidth="1"/>
    <col min="267" max="267" width="8.85546875" style="76"/>
    <col min="268" max="268" width="11" style="76" customWidth="1"/>
    <col min="269" max="512" width="8.85546875" style="76"/>
    <col min="513" max="513" width="23.140625" style="76" customWidth="1"/>
    <col min="514" max="514" width="17.28515625" style="76" customWidth="1"/>
    <col min="515" max="515" width="8.85546875" style="76"/>
    <col min="516" max="516" width="23.42578125" style="76" customWidth="1"/>
    <col min="517" max="517" width="19.7109375" style="76" customWidth="1"/>
    <col min="518" max="518" width="25.42578125" style="76" customWidth="1"/>
    <col min="519" max="519" width="24.42578125" style="76" customWidth="1"/>
    <col min="520" max="520" width="11.42578125" style="76" bestFit="1" customWidth="1"/>
    <col min="521" max="521" width="16.140625" style="76" customWidth="1"/>
    <col min="522" max="522" width="15.42578125" style="76" customWidth="1"/>
    <col min="523" max="523" width="8.85546875" style="76"/>
    <col min="524" max="524" width="11" style="76" customWidth="1"/>
    <col min="525" max="768" width="8.85546875" style="76"/>
    <col min="769" max="769" width="23.140625" style="76" customWidth="1"/>
    <col min="770" max="770" width="17.28515625" style="76" customWidth="1"/>
    <col min="771" max="771" width="8.85546875" style="76"/>
    <col min="772" max="772" width="23.42578125" style="76" customWidth="1"/>
    <col min="773" max="773" width="19.7109375" style="76" customWidth="1"/>
    <col min="774" max="774" width="25.42578125" style="76" customWidth="1"/>
    <col min="775" max="775" width="24.42578125" style="76" customWidth="1"/>
    <col min="776" max="776" width="11.42578125" style="76" bestFit="1" customWidth="1"/>
    <col min="777" max="777" width="16.140625" style="76" customWidth="1"/>
    <col min="778" max="778" width="15.42578125" style="76" customWidth="1"/>
    <col min="779" max="779" width="8.85546875" style="76"/>
    <col min="780" max="780" width="11" style="76" customWidth="1"/>
    <col min="781" max="1024" width="8.85546875" style="76"/>
    <col min="1025" max="1025" width="23.140625" style="76" customWidth="1"/>
    <col min="1026" max="1026" width="17.28515625" style="76" customWidth="1"/>
    <col min="1027" max="1027" width="8.85546875" style="76"/>
    <col min="1028" max="1028" width="23.42578125" style="76" customWidth="1"/>
    <col min="1029" max="1029" width="19.7109375" style="76" customWidth="1"/>
    <col min="1030" max="1030" width="25.42578125" style="76" customWidth="1"/>
    <col min="1031" max="1031" width="24.42578125" style="76" customWidth="1"/>
    <col min="1032" max="1032" width="11.42578125" style="76" bestFit="1" customWidth="1"/>
    <col min="1033" max="1033" width="16.140625" style="76" customWidth="1"/>
    <col min="1034" max="1034" width="15.42578125" style="76" customWidth="1"/>
    <col min="1035" max="1035" width="8.85546875" style="76"/>
    <col min="1036" max="1036" width="11" style="76" customWidth="1"/>
    <col min="1037" max="1280" width="8.85546875" style="76"/>
    <col min="1281" max="1281" width="23.140625" style="76" customWidth="1"/>
    <col min="1282" max="1282" width="17.28515625" style="76" customWidth="1"/>
    <col min="1283" max="1283" width="8.85546875" style="76"/>
    <col min="1284" max="1284" width="23.42578125" style="76" customWidth="1"/>
    <col min="1285" max="1285" width="19.7109375" style="76" customWidth="1"/>
    <col min="1286" max="1286" width="25.42578125" style="76" customWidth="1"/>
    <col min="1287" max="1287" width="24.42578125" style="76" customWidth="1"/>
    <col min="1288" max="1288" width="11.42578125" style="76" bestFit="1" customWidth="1"/>
    <col min="1289" max="1289" width="16.140625" style="76" customWidth="1"/>
    <col min="1290" max="1290" width="15.42578125" style="76" customWidth="1"/>
    <col min="1291" max="1291" width="8.85546875" style="76"/>
    <col min="1292" max="1292" width="11" style="76" customWidth="1"/>
    <col min="1293" max="1536" width="8.85546875" style="76"/>
    <col min="1537" max="1537" width="23.140625" style="76" customWidth="1"/>
    <col min="1538" max="1538" width="17.28515625" style="76" customWidth="1"/>
    <col min="1539" max="1539" width="8.85546875" style="76"/>
    <col min="1540" max="1540" width="23.42578125" style="76" customWidth="1"/>
    <col min="1541" max="1541" width="19.7109375" style="76" customWidth="1"/>
    <col min="1542" max="1542" width="25.42578125" style="76" customWidth="1"/>
    <col min="1543" max="1543" width="24.42578125" style="76" customWidth="1"/>
    <col min="1544" max="1544" width="11.42578125" style="76" bestFit="1" customWidth="1"/>
    <col min="1545" max="1545" width="16.140625" style="76" customWidth="1"/>
    <col min="1546" max="1546" width="15.42578125" style="76" customWidth="1"/>
    <col min="1547" max="1547" width="8.85546875" style="76"/>
    <col min="1548" max="1548" width="11" style="76" customWidth="1"/>
    <col min="1549" max="1792" width="8.85546875" style="76"/>
    <col min="1793" max="1793" width="23.140625" style="76" customWidth="1"/>
    <col min="1794" max="1794" width="17.28515625" style="76" customWidth="1"/>
    <col min="1795" max="1795" width="8.85546875" style="76"/>
    <col min="1796" max="1796" width="23.42578125" style="76" customWidth="1"/>
    <col min="1797" max="1797" width="19.7109375" style="76" customWidth="1"/>
    <col min="1798" max="1798" width="25.42578125" style="76" customWidth="1"/>
    <col min="1799" max="1799" width="24.42578125" style="76" customWidth="1"/>
    <col min="1800" max="1800" width="11.42578125" style="76" bestFit="1" customWidth="1"/>
    <col min="1801" max="1801" width="16.140625" style="76" customWidth="1"/>
    <col min="1802" max="1802" width="15.42578125" style="76" customWidth="1"/>
    <col min="1803" max="1803" width="8.85546875" style="76"/>
    <col min="1804" max="1804" width="11" style="76" customWidth="1"/>
    <col min="1805" max="2048" width="8.85546875" style="76"/>
    <col min="2049" max="2049" width="23.140625" style="76" customWidth="1"/>
    <col min="2050" max="2050" width="17.28515625" style="76" customWidth="1"/>
    <col min="2051" max="2051" width="8.85546875" style="76"/>
    <col min="2052" max="2052" width="23.42578125" style="76" customWidth="1"/>
    <col min="2053" max="2053" width="19.7109375" style="76" customWidth="1"/>
    <col min="2054" max="2054" width="25.42578125" style="76" customWidth="1"/>
    <col min="2055" max="2055" width="24.42578125" style="76" customWidth="1"/>
    <col min="2056" max="2056" width="11.42578125" style="76" bestFit="1" customWidth="1"/>
    <col min="2057" max="2057" width="16.140625" style="76" customWidth="1"/>
    <col min="2058" max="2058" width="15.42578125" style="76" customWidth="1"/>
    <col min="2059" max="2059" width="8.85546875" style="76"/>
    <col min="2060" max="2060" width="11" style="76" customWidth="1"/>
    <col min="2061" max="2304" width="8.85546875" style="76"/>
    <col min="2305" max="2305" width="23.140625" style="76" customWidth="1"/>
    <col min="2306" max="2306" width="17.28515625" style="76" customWidth="1"/>
    <col min="2307" max="2307" width="8.85546875" style="76"/>
    <col min="2308" max="2308" width="23.42578125" style="76" customWidth="1"/>
    <col min="2309" max="2309" width="19.7109375" style="76" customWidth="1"/>
    <col min="2310" max="2310" width="25.42578125" style="76" customWidth="1"/>
    <col min="2311" max="2311" width="24.42578125" style="76" customWidth="1"/>
    <col min="2312" max="2312" width="11.42578125" style="76" bestFit="1" customWidth="1"/>
    <col min="2313" max="2313" width="16.140625" style="76" customWidth="1"/>
    <col min="2314" max="2314" width="15.42578125" style="76" customWidth="1"/>
    <col min="2315" max="2315" width="8.85546875" style="76"/>
    <col min="2316" max="2316" width="11" style="76" customWidth="1"/>
    <col min="2317" max="2560" width="8.85546875" style="76"/>
    <col min="2561" max="2561" width="23.140625" style="76" customWidth="1"/>
    <col min="2562" max="2562" width="17.28515625" style="76" customWidth="1"/>
    <col min="2563" max="2563" width="8.85546875" style="76"/>
    <col min="2564" max="2564" width="23.42578125" style="76" customWidth="1"/>
    <col min="2565" max="2565" width="19.7109375" style="76" customWidth="1"/>
    <col min="2566" max="2566" width="25.42578125" style="76" customWidth="1"/>
    <col min="2567" max="2567" width="24.42578125" style="76" customWidth="1"/>
    <col min="2568" max="2568" width="11.42578125" style="76" bestFit="1" customWidth="1"/>
    <col min="2569" max="2569" width="16.140625" style="76" customWidth="1"/>
    <col min="2570" max="2570" width="15.42578125" style="76" customWidth="1"/>
    <col min="2571" max="2571" width="8.85546875" style="76"/>
    <col min="2572" max="2572" width="11" style="76" customWidth="1"/>
    <col min="2573" max="2816" width="8.85546875" style="76"/>
    <col min="2817" max="2817" width="23.140625" style="76" customWidth="1"/>
    <col min="2818" max="2818" width="17.28515625" style="76" customWidth="1"/>
    <col min="2819" max="2819" width="8.85546875" style="76"/>
    <col min="2820" max="2820" width="23.42578125" style="76" customWidth="1"/>
    <col min="2821" max="2821" width="19.7109375" style="76" customWidth="1"/>
    <col min="2822" max="2822" width="25.42578125" style="76" customWidth="1"/>
    <col min="2823" max="2823" width="24.42578125" style="76" customWidth="1"/>
    <col min="2824" max="2824" width="11.42578125" style="76" bestFit="1" customWidth="1"/>
    <col min="2825" max="2825" width="16.140625" style="76" customWidth="1"/>
    <col min="2826" max="2826" width="15.42578125" style="76" customWidth="1"/>
    <col min="2827" max="2827" width="8.85546875" style="76"/>
    <col min="2828" max="2828" width="11" style="76" customWidth="1"/>
    <col min="2829" max="3072" width="8.85546875" style="76"/>
    <col min="3073" max="3073" width="23.140625" style="76" customWidth="1"/>
    <col min="3074" max="3074" width="17.28515625" style="76" customWidth="1"/>
    <col min="3075" max="3075" width="8.85546875" style="76"/>
    <col min="3076" max="3076" width="23.42578125" style="76" customWidth="1"/>
    <col min="3077" max="3077" width="19.7109375" style="76" customWidth="1"/>
    <col min="3078" max="3078" width="25.42578125" style="76" customWidth="1"/>
    <col min="3079" max="3079" width="24.42578125" style="76" customWidth="1"/>
    <col min="3080" max="3080" width="11.42578125" style="76" bestFit="1" customWidth="1"/>
    <col min="3081" max="3081" width="16.140625" style="76" customWidth="1"/>
    <col min="3082" max="3082" width="15.42578125" style="76" customWidth="1"/>
    <col min="3083" max="3083" width="8.85546875" style="76"/>
    <col min="3084" max="3084" width="11" style="76" customWidth="1"/>
    <col min="3085" max="3328" width="8.85546875" style="76"/>
    <col min="3329" max="3329" width="23.140625" style="76" customWidth="1"/>
    <col min="3330" max="3330" width="17.28515625" style="76" customWidth="1"/>
    <col min="3331" max="3331" width="8.85546875" style="76"/>
    <col min="3332" max="3332" width="23.42578125" style="76" customWidth="1"/>
    <col min="3333" max="3333" width="19.7109375" style="76" customWidth="1"/>
    <col min="3334" max="3334" width="25.42578125" style="76" customWidth="1"/>
    <col min="3335" max="3335" width="24.42578125" style="76" customWidth="1"/>
    <col min="3336" max="3336" width="11.42578125" style="76" bestFit="1" customWidth="1"/>
    <col min="3337" max="3337" width="16.140625" style="76" customWidth="1"/>
    <col min="3338" max="3338" width="15.42578125" style="76" customWidth="1"/>
    <col min="3339" max="3339" width="8.85546875" style="76"/>
    <col min="3340" max="3340" width="11" style="76" customWidth="1"/>
    <col min="3341" max="3584" width="8.85546875" style="76"/>
    <col min="3585" max="3585" width="23.140625" style="76" customWidth="1"/>
    <col min="3586" max="3586" width="17.28515625" style="76" customWidth="1"/>
    <col min="3587" max="3587" width="8.85546875" style="76"/>
    <col min="3588" max="3588" width="23.42578125" style="76" customWidth="1"/>
    <col min="3589" max="3589" width="19.7109375" style="76" customWidth="1"/>
    <col min="3590" max="3590" width="25.42578125" style="76" customWidth="1"/>
    <col min="3591" max="3591" width="24.42578125" style="76" customWidth="1"/>
    <col min="3592" max="3592" width="11.42578125" style="76" bestFit="1" customWidth="1"/>
    <col min="3593" max="3593" width="16.140625" style="76" customWidth="1"/>
    <col min="3594" max="3594" width="15.42578125" style="76" customWidth="1"/>
    <col min="3595" max="3595" width="8.85546875" style="76"/>
    <col min="3596" max="3596" width="11" style="76" customWidth="1"/>
    <col min="3597" max="3840" width="8.85546875" style="76"/>
    <col min="3841" max="3841" width="23.140625" style="76" customWidth="1"/>
    <col min="3842" max="3842" width="17.28515625" style="76" customWidth="1"/>
    <col min="3843" max="3843" width="8.85546875" style="76"/>
    <col min="3844" max="3844" width="23.42578125" style="76" customWidth="1"/>
    <col min="3845" max="3845" width="19.7109375" style="76" customWidth="1"/>
    <col min="3846" max="3846" width="25.42578125" style="76" customWidth="1"/>
    <col min="3847" max="3847" width="24.42578125" style="76" customWidth="1"/>
    <col min="3848" max="3848" width="11.42578125" style="76" bestFit="1" customWidth="1"/>
    <col min="3849" max="3849" width="16.140625" style="76" customWidth="1"/>
    <col min="3850" max="3850" width="15.42578125" style="76" customWidth="1"/>
    <col min="3851" max="3851" width="8.85546875" style="76"/>
    <col min="3852" max="3852" width="11" style="76" customWidth="1"/>
    <col min="3853" max="4096" width="8.85546875" style="76"/>
    <col min="4097" max="4097" width="23.140625" style="76" customWidth="1"/>
    <col min="4098" max="4098" width="17.28515625" style="76" customWidth="1"/>
    <col min="4099" max="4099" width="8.85546875" style="76"/>
    <col min="4100" max="4100" width="23.42578125" style="76" customWidth="1"/>
    <col min="4101" max="4101" width="19.7109375" style="76" customWidth="1"/>
    <col min="4102" max="4102" width="25.42578125" style="76" customWidth="1"/>
    <col min="4103" max="4103" width="24.42578125" style="76" customWidth="1"/>
    <col min="4104" max="4104" width="11.42578125" style="76" bestFit="1" customWidth="1"/>
    <col min="4105" max="4105" width="16.140625" style="76" customWidth="1"/>
    <col min="4106" max="4106" width="15.42578125" style="76" customWidth="1"/>
    <col min="4107" max="4107" width="8.85546875" style="76"/>
    <col min="4108" max="4108" width="11" style="76" customWidth="1"/>
    <col min="4109" max="4352" width="8.85546875" style="76"/>
    <col min="4353" max="4353" width="23.140625" style="76" customWidth="1"/>
    <col min="4354" max="4354" width="17.28515625" style="76" customWidth="1"/>
    <col min="4355" max="4355" width="8.85546875" style="76"/>
    <col min="4356" max="4356" width="23.42578125" style="76" customWidth="1"/>
    <col min="4357" max="4357" width="19.7109375" style="76" customWidth="1"/>
    <col min="4358" max="4358" width="25.42578125" style="76" customWidth="1"/>
    <col min="4359" max="4359" width="24.42578125" style="76" customWidth="1"/>
    <col min="4360" max="4360" width="11.42578125" style="76" bestFit="1" customWidth="1"/>
    <col min="4361" max="4361" width="16.140625" style="76" customWidth="1"/>
    <col min="4362" max="4362" width="15.42578125" style="76" customWidth="1"/>
    <col min="4363" max="4363" width="8.85546875" style="76"/>
    <col min="4364" max="4364" width="11" style="76" customWidth="1"/>
    <col min="4365" max="4608" width="8.85546875" style="76"/>
    <col min="4609" max="4609" width="23.140625" style="76" customWidth="1"/>
    <col min="4610" max="4610" width="17.28515625" style="76" customWidth="1"/>
    <col min="4611" max="4611" width="8.85546875" style="76"/>
    <col min="4612" max="4612" width="23.42578125" style="76" customWidth="1"/>
    <col min="4613" max="4613" width="19.7109375" style="76" customWidth="1"/>
    <col min="4614" max="4614" width="25.42578125" style="76" customWidth="1"/>
    <col min="4615" max="4615" width="24.42578125" style="76" customWidth="1"/>
    <col min="4616" max="4616" width="11.42578125" style="76" bestFit="1" customWidth="1"/>
    <col min="4617" max="4617" width="16.140625" style="76" customWidth="1"/>
    <col min="4618" max="4618" width="15.42578125" style="76" customWidth="1"/>
    <col min="4619" max="4619" width="8.85546875" style="76"/>
    <col min="4620" max="4620" width="11" style="76" customWidth="1"/>
    <col min="4621" max="4864" width="8.85546875" style="76"/>
    <col min="4865" max="4865" width="23.140625" style="76" customWidth="1"/>
    <col min="4866" max="4866" width="17.28515625" style="76" customWidth="1"/>
    <col min="4867" max="4867" width="8.85546875" style="76"/>
    <col min="4868" max="4868" width="23.42578125" style="76" customWidth="1"/>
    <col min="4869" max="4869" width="19.7109375" style="76" customWidth="1"/>
    <col min="4870" max="4870" width="25.42578125" style="76" customWidth="1"/>
    <col min="4871" max="4871" width="24.42578125" style="76" customWidth="1"/>
    <col min="4872" max="4872" width="11.42578125" style="76" bestFit="1" customWidth="1"/>
    <col min="4873" max="4873" width="16.140625" style="76" customWidth="1"/>
    <col min="4874" max="4874" width="15.42578125" style="76" customWidth="1"/>
    <col min="4875" max="4875" width="8.85546875" style="76"/>
    <col min="4876" max="4876" width="11" style="76" customWidth="1"/>
    <col min="4877" max="5120" width="8.85546875" style="76"/>
    <col min="5121" max="5121" width="23.140625" style="76" customWidth="1"/>
    <col min="5122" max="5122" width="17.28515625" style="76" customWidth="1"/>
    <col min="5123" max="5123" width="8.85546875" style="76"/>
    <col min="5124" max="5124" width="23.42578125" style="76" customWidth="1"/>
    <col min="5125" max="5125" width="19.7109375" style="76" customWidth="1"/>
    <col min="5126" max="5126" width="25.42578125" style="76" customWidth="1"/>
    <col min="5127" max="5127" width="24.42578125" style="76" customWidth="1"/>
    <col min="5128" max="5128" width="11.42578125" style="76" bestFit="1" customWidth="1"/>
    <col min="5129" max="5129" width="16.140625" style="76" customWidth="1"/>
    <col min="5130" max="5130" width="15.42578125" style="76" customWidth="1"/>
    <col min="5131" max="5131" width="8.85546875" style="76"/>
    <col min="5132" max="5132" width="11" style="76" customWidth="1"/>
    <col min="5133" max="5376" width="8.85546875" style="76"/>
    <col min="5377" max="5377" width="23.140625" style="76" customWidth="1"/>
    <col min="5378" max="5378" width="17.28515625" style="76" customWidth="1"/>
    <col min="5379" max="5379" width="8.85546875" style="76"/>
    <col min="5380" max="5380" width="23.42578125" style="76" customWidth="1"/>
    <col min="5381" max="5381" width="19.7109375" style="76" customWidth="1"/>
    <col min="5382" max="5382" width="25.42578125" style="76" customWidth="1"/>
    <col min="5383" max="5383" width="24.42578125" style="76" customWidth="1"/>
    <col min="5384" max="5384" width="11.42578125" style="76" bestFit="1" customWidth="1"/>
    <col min="5385" max="5385" width="16.140625" style="76" customWidth="1"/>
    <col min="5386" max="5386" width="15.42578125" style="76" customWidth="1"/>
    <col min="5387" max="5387" width="8.85546875" style="76"/>
    <col min="5388" max="5388" width="11" style="76" customWidth="1"/>
    <col min="5389" max="5632" width="8.85546875" style="76"/>
    <col min="5633" max="5633" width="23.140625" style="76" customWidth="1"/>
    <col min="5634" max="5634" width="17.28515625" style="76" customWidth="1"/>
    <col min="5635" max="5635" width="8.85546875" style="76"/>
    <col min="5636" max="5636" width="23.42578125" style="76" customWidth="1"/>
    <col min="5637" max="5637" width="19.7109375" style="76" customWidth="1"/>
    <col min="5638" max="5638" width="25.42578125" style="76" customWidth="1"/>
    <col min="5639" max="5639" width="24.42578125" style="76" customWidth="1"/>
    <col min="5640" max="5640" width="11.42578125" style="76" bestFit="1" customWidth="1"/>
    <col min="5641" max="5641" width="16.140625" style="76" customWidth="1"/>
    <col min="5642" max="5642" width="15.42578125" style="76" customWidth="1"/>
    <col min="5643" max="5643" width="8.85546875" style="76"/>
    <col min="5644" max="5644" width="11" style="76" customWidth="1"/>
    <col min="5645" max="5888" width="8.85546875" style="76"/>
    <col min="5889" max="5889" width="23.140625" style="76" customWidth="1"/>
    <col min="5890" max="5890" width="17.28515625" style="76" customWidth="1"/>
    <col min="5891" max="5891" width="8.85546875" style="76"/>
    <col min="5892" max="5892" width="23.42578125" style="76" customWidth="1"/>
    <col min="5893" max="5893" width="19.7109375" style="76" customWidth="1"/>
    <col min="5894" max="5894" width="25.42578125" style="76" customWidth="1"/>
    <col min="5895" max="5895" width="24.42578125" style="76" customWidth="1"/>
    <col min="5896" max="5896" width="11.42578125" style="76" bestFit="1" customWidth="1"/>
    <col min="5897" max="5897" width="16.140625" style="76" customWidth="1"/>
    <col min="5898" max="5898" width="15.42578125" style="76" customWidth="1"/>
    <col min="5899" max="5899" width="8.85546875" style="76"/>
    <col min="5900" max="5900" width="11" style="76" customWidth="1"/>
    <col min="5901" max="6144" width="8.85546875" style="76"/>
    <col min="6145" max="6145" width="23.140625" style="76" customWidth="1"/>
    <col min="6146" max="6146" width="17.28515625" style="76" customWidth="1"/>
    <col min="6147" max="6147" width="8.85546875" style="76"/>
    <col min="6148" max="6148" width="23.42578125" style="76" customWidth="1"/>
    <col min="6149" max="6149" width="19.7109375" style="76" customWidth="1"/>
    <col min="6150" max="6150" width="25.42578125" style="76" customWidth="1"/>
    <col min="6151" max="6151" width="24.42578125" style="76" customWidth="1"/>
    <col min="6152" max="6152" width="11.42578125" style="76" bestFit="1" customWidth="1"/>
    <col min="6153" max="6153" width="16.140625" style="76" customWidth="1"/>
    <col min="6154" max="6154" width="15.42578125" style="76" customWidth="1"/>
    <col min="6155" max="6155" width="8.85546875" style="76"/>
    <col min="6156" max="6156" width="11" style="76" customWidth="1"/>
    <col min="6157" max="6400" width="8.85546875" style="76"/>
    <col min="6401" max="6401" width="23.140625" style="76" customWidth="1"/>
    <col min="6402" max="6402" width="17.28515625" style="76" customWidth="1"/>
    <col min="6403" max="6403" width="8.85546875" style="76"/>
    <col min="6404" max="6404" width="23.42578125" style="76" customWidth="1"/>
    <col min="6405" max="6405" width="19.7109375" style="76" customWidth="1"/>
    <col min="6406" max="6406" width="25.42578125" style="76" customWidth="1"/>
    <col min="6407" max="6407" width="24.42578125" style="76" customWidth="1"/>
    <col min="6408" max="6408" width="11.42578125" style="76" bestFit="1" customWidth="1"/>
    <col min="6409" max="6409" width="16.140625" style="76" customWidth="1"/>
    <col min="6410" max="6410" width="15.42578125" style="76" customWidth="1"/>
    <col min="6411" max="6411" width="8.85546875" style="76"/>
    <col min="6412" max="6412" width="11" style="76" customWidth="1"/>
    <col min="6413" max="6656" width="8.85546875" style="76"/>
    <col min="6657" max="6657" width="23.140625" style="76" customWidth="1"/>
    <col min="6658" max="6658" width="17.28515625" style="76" customWidth="1"/>
    <col min="6659" max="6659" width="8.85546875" style="76"/>
    <col min="6660" max="6660" width="23.42578125" style="76" customWidth="1"/>
    <col min="6661" max="6661" width="19.7109375" style="76" customWidth="1"/>
    <col min="6662" max="6662" width="25.42578125" style="76" customWidth="1"/>
    <col min="6663" max="6663" width="24.42578125" style="76" customWidth="1"/>
    <col min="6664" max="6664" width="11.42578125" style="76" bestFit="1" customWidth="1"/>
    <col min="6665" max="6665" width="16.140625" style="76" customWidth="1"/>
    <col min="6666" max="6666" width="15.42578125" style="76" customWidth="1"/>
    <col min="6667" max="6667" width="8.85546875" style="76"/>
    <col min="6668" max="6668" width="11" style="76" customWidth="1"/>
    <col min="6669" max="6912" width="8.85546875" style="76"/>
    <col min="6913" max="6913" width="23.140625" style="76" customWidth="1"/>
    <col min="6914" max="6914" width="17.28515625" style="76" customWidth="1"/>
    <col min="6915" max="6915" width="8.85546875" style="76"/>
    <col min="6916" max="6916" width="23.42578125" style="76" customWidth="1"/>
    <col min="6917" max="6917" width="19.7109375" style="76" customWidth="1"/>
    <col min="6918" max="6918" width="25.42578125" style="76" customWidth="1"/>
    <col min="6919" max="6919" width="24.42578125" style="76" customWidth="1"/>
    <col min="6920" max="6920" width="11.42578125" style="76" bestFit="1" customWidth="1"/>
    <col min="6921" max="6921" width="16.140625" style="76" customWidth="1"/>
    <col min="6922" max="6922" width="15.42578125" style="76" customWidth="1"/>
    <col min="6923" max="6923" width="8.85546875" style="76"/>
    <col min="6924" max="6924" width="11" style="76" customWidth="1"/>
    <col min="6925" max="7168" width="8.85546875" style="76"/>
    <col min="7169" max="7169" width="23.140625" style="76" customWidth="1"/>
    <col min="7170" max="7170" width="17.28515625" style="76" customWidth="1"/>
    <col min="7171" max="7171" width="8.85546875" style="76"/>
    <col min="7172" max="7172" width="23.42578125" style="76" customWidth="1"/>
    <col min="7173" max="7173" width="19.7109375" style="76" customWidth="1"/>
    <col min="7174" max="7174" width="25.42578125" style="76" customWidth="1"/>
    <col min="7175" max="7175" width="24.42578125" style="76" customWidth="1"/>
    <col min="7176" max="7176" width="11.42578125" style="76" bestFit="1" customWidth="1"/>
    <col min="7177" max="7177" width="16.140625" style="76" customWidth="1"/>
    <col min="7178" max="7178" width="15.42578125" style="76" customWidth="1"/>
    <col min="7179" max="7179" width="8.85546875" style="76"/>
    <col min="7180" max="7180" width="11" style="76" customWidth="1"/>
    <col min="7181" max="7424" width="8.85546875" style="76"/>
    <col min="7425" max="7425" width="23.140625" style="76" customWidth="1"/>
    <col min="7426" max="7426" width="17.28515625" style="76" customWidth="1"/>
    <col min="7427" max="7427" width="8.85546875" style="76"/>
    <col min="7428" max="7428" width="23.42578125" style="76" customWidth="1"/>
    <col min="7429" max="7429" width="19.7109375" style="76" customWidth="1"/>
    <col min="7430" max="7430" width="25.42578125" style="76" customWidth="1"/>
    <col min="7431" max="7431" width="24.42578125" style="76" customWidth="1"/>
    <col min="7432" max="7432" width="11.42578125" style="76" bestFit="1" customWidth="1"/>
    <col min="7433" max="7433" width="16.140625" style="76" customWidth="1"/>
    <col min="7434" max="7434" width="15.42578125" style="76" customWidth="1"/>
    <col min="7435" max="7435" width="8.85546875" style="76"/>
    <col min="7436" max="7436" width="11" style="76" customWidth="1"/>
    <col min="7437" max="7680" width="8.85546875" style="76"/>
    <col min="7681" max="7681" width="23.140625" style="76" customWidth="1"/>
    <col min="7682" max="7682" width="17.28515625" style="76" customWidth="1"/>
    <col min="7683" max="7683" width="8.85546875" style="76"/>
    <col min="7684" max="7684" width="23.42578125" style="76" customWidth="1"/>
    <col min="7685" max="7685" width="19.7109375" style="76" customWidth="1"/>
    <col min="7686" max="7686" width="25.42578125" style="76" customWidth="1"/>
    <col min="7687" max="7687" width="24.42578125" style="76" customWidth="1"/>
    <col min="7688" max="7688" width="11.42578125" style="76" bestFit="1" customWidth="1"/>
    <col min="7689" max="7689" width="16.140625" style="76" customWidth="1"/>
    <col min="7690" max="7690" width="15.42578125" style="76" customWidth="1"/>
    <col min="7691" max="7691" width="8.85546875" style="76"/>
    <col min="7692" max="7692" width="11" style="76" customWidth="1"/>
    <col min="7693" max="7936" width="8.85546875" style="76"/>
    <col min="7937" max="7937" width="23.140625" style="76" customWidth="1"/>
    <col min="7938" max="7938" width="17.28515625" style="76" customWidth="1"/>
    <col min="7939" max="7939" width="8.85546875" style="76"/>
    <col min="7940" max="7940" width="23.42578125" style="76" customWidth="1"/>
    <col min="7941" max="7941" width="19.7109375" style="76" customWidth="1"/>
    <col min="7942" max="7942" width="25.42578125" style="76" customWidth="1"/>
    <col min="7943" max="7943" width="24.42578125" style="76" customWidth="1"/>
    <col min="7944" max="7944" width="11.42578125" style="76" bestFit="1" customWidth="1"/>
    <col min="7945" max="7945" width="16.140625" style="76" customWidth="1"/>
    <col min="7946" max="7946" width="15.42578125" style="76" customWidth="1"/>
    <col min="7947" max="7947" width="8.85546875" style="76"/>
    <col min="7948" max="7948" width="11" style="76" customWidth="1"/>
    <col min="7949" max="8192" width="8.85546875" style="76"/>
    <col min="8193" max="8193" width="23.140625" style="76" customWidth="1"/>
    <col min="8194" max="8194" width="17.28515625" style="76" customWidth="1"/>
    <col min="8195" max="8195" width="8.85546875" style="76"/>
    <col min="8196" max="8196" width="23.42578125" style="76" customWidth="1"/>
    <col min="8197" max="8197" width="19.7109375" style="76" customWidth="1"/>
    <col min="8198" max="8198" width="25.42578125" style="76" customWidth="1"/>
    <col min="8199" max="8199" width="24.42578125" style="76" customWidth="1"/>
    <col min="8200" max="8200" width="11.42578125" style="76" bestFit="1" customWidth="1"/>
    <col min="8201" max="8201" width="16.140625" style="76" customWidth="1"/>
    <col min="8202" max="8202" width="15.42578125" style="76" customWidth="1"/>
    <col min="8203" max="8203" width="8.85546875" style="76"/>
    <col min="8204" max="8204" width="11" style="76" customWidth="1"/>
    <col min="8205" max="8448" width="8.85546875" style="76"/>
    <col min="8449" max="8449" width="23.140625" style="76" customWidth="1"/>
    <col min="8450" max="8450" width="17.28515625" style="76" customWidth="1"/>
    <col min="8451" max="8451" width="8.85546875" style="76"/>
    <col min="8452" max="8452" width="23.42578125" style="76" customWidth="1"/>
    <col min="8453" max="8453" width="19.7109375" style="76" customWidth="1"/>
    <col min="8454" max="8454" width="25.42578125" style="76" customWidth="1"/>
    <col min="8455" max="8455" width="24.42578125" style="76" customWidth="1"/>
    <col min="8456" max="8456" width="11.42578125" style="76" bestFit="1" customWidth="1"/>
    <col min="8457" max="8457" width="16.140625" style="76" customWidth="1"/>
    <col min="8458" max="8458" width="15.42578125" style="76" customWidth="1"/>
    <col min="8459" max="8459" width="8.85546875" style="76"/>
    <col min="8460" max="8460" width="11" style="76" customWidth="1"/>
    <col min="8461" max="8704" width="8.85546875" style="76"/>
    <col min="8705" max="8705" width="23.140625" style="76" customWidth="1"/>
    <col min="8706" max="8706" width="17.28515625" style="76" customWidth="1"/>
    <col min="8707" max="8707" width="8.85546875" style="76"/>
    <col min="8708" max="8708" width="23.42578125" style="76" customWidth="1"/>
    <col min="8709" max="8709" width="19.7109375" style="76" customWidth="1"/>
    <col min="8710" max="8710" width="25.42578125" style="76" customWidth="1"/>
    <col min="8711" max="8711" width="24.42578125" style="76" customWidth="1"/>
    <col min="8712" max="8712" width="11.42578125" style="76" bestFit="1" customWidth="1"/>
    <col min="8713" max="8713" width="16.140625" style="76" customWidth="1"/>
    <col min="8714" max="8714" width="15.42578125" style="76" customWidth="1"/>
    <col min="8715" max="8715" width="8.85546875" style="76"/>
    <col min="8716" max="8716" width="11" style="76" customWidth="1"/>
    <col min="8717" max="8960" width="8.85546875" style="76"/>
    <col min="8961" max="8961" width="23.140625" style="76" customWidth="1"/>
    <col min="8962" max="8962" width="17.28515625" style="76" customWidth="1"/>
    <col min="8963" max="8963" width="8.85546875" style="76"/>
    <col min="8964" max="8964" width="23.42578125" style="76" customWidth="1"/>
    <col min="8965" max="8965" width="19.7109375" style="76" customWidth="1"/>
    <col min="8966" max="8966" width="25.42578125" style="76" customWidth="1"/>
    <col min="8967" max="8967" width="24.42578125" style="76" customWidth="1"/>
    <col min="8968" max="8968" width="11.42578125" style="76" bestFit="1" customWidth="1"/>
    <col min="8969" max="8969" width="16.140625" style="76" customWidth="1"/>
    <col min="8970" max="8970" width="15.42578125" style="76" customWidth="1"/>
    <col min="8971" max="8971" width="8.85546875" style="76"/>
    <col min="8972" max="8972" width="11" style="76" customWidth="1"/>
    <col min="8973" max="9216" width="8.85546875" style="76"/>
    <col min="9217" max="9217" width="23.140625" style="76" customWidth="1"/>
    <col min="9218" max="9218" width="17.28515625" style="76" customWidth="1"/>
    <col min="9219" max="9219" width="8.85546875" style="76"/>
    <col min="9220" max="9220" width="23.42578125" style="76" customWidth="1"/>
    <col min="9221" max="9221" width="19.7109375" style="76" customWidth="1"/>
    <col min="9222" max="9222" width="25.42578125" style="76" customWidth="1"/>
    <col min="9223" max="9223" width="24.42578125" style="76" customWidth="1"/>
    <col min="9224" max="9224" width="11.42578125" style="76" bestFit="1" customWidth="1"/>
    <col min="9225" max="9225" width="16.140625" style="76" customWidth="1"/>
    <col min="9226" max="9226" width="15.42578125" style="76" customWidth="1"/>
    <col min="9227" max="9227" width="8.85546875" style="76"/>
    <col min="9228" max="9228" width="11" style="76" customWidth="1"/>
    <col min="9229" max="9472" width="8.85546875" style="76"/>
    <col min="9473" max="9473" width="23.140625" style="76" customWidth="1"/>
    <col min="9474" max="9474" width="17.28515625" style="76" customWidth="1"/>
    <col min="9475" max="9475" width="8.85546875" style="76"/>
    <col min="9476" max="9476" width="23.42578125" style="76" customWidth="1"/>
    <col min="9477" max="9477" width="19.7109375" style="76" customWidth="1"/>
    <col min="9478" max="9478" width="25.42578125" style="76" customWidth="1"/>
    <col min="9479" max="9479" width="24.42578125" style="76" customWidth="1"/>
    <col min="9480" max="9480" width="11.42578125" style="76" bestFit="1" customWidth="1"/>
    <col min="9481" max="9481" width="16.140625" style="76" customWidth="1"/>
    <col min="9482" max="9482" width="15.42578125" style="76" customWidth="1"/>
    <col min="9483" max="9483" width="8.85546875" style="76"/>
    <col min="9484" max="9484" width="11" style="76" customWidth="1"/>
    <col min="9485" max="9728" width="8.85546875" style="76"/>
    <col min="9729" max="9729" width="23.140625" style="76" customWidth="1"/>
    <col min="9730" max="9730" width="17.28515625" style="76" customWidth="1"/>
    <col min="9731" max="9731" width="8.85546875" style="76"/>
    <col min="9732" max="9732" width="23.42578125" style="76" customWidth="1"/>
    <col min="9733" max="9733" width="19.7109375" style="76" customWidth="1"/>
    <col min="9734" max="9734" width="25.42578125" style="76" customWidth="1"/>
    <col min="9735" max="9735" width="24.42578125" style="76" customWidth="1"/>
    <col min="9736" max="9736" width="11.42578125" style="76" bestFit="1" customWidth="1"/>
    <col min="9737" max="9737" width="16.140625" style="76" customWidth="1"/>
    <col min="9738" max="9738" width="15.42578125" style="76" customWidth="1"/>
    <col min="9739" max="9739" width="8.85546875" style="76"/>
    <col min="9740" max="9740" width="11" style="76" customWidth="1"/>
    <col min="9741" max="9984" width="8.85546875" style="76"/>
    <col min="9985" max="9985" width="23.140625" style="76" customWidth="1"/>
    <col min="9986" max="9986" width="17.28515625" style="76" customWidth="1"/>
    <col min="9987" max="9987" width="8.85546875" style="76"/>
    <col min="9988" max="9988" width="23.42578125" style="76" customWidth="1"/>
    <col min="9989" max="9989" width="19.7109375" style="76" customWidth="1"/>
    <col min="9990" max="9990" width="25.42578125" style="76" customWidth="1"/>
    <col min="9991" max="9991" width="24.42578125" style="76" customWidth="1"/>
    <col min="9992" max="9992" width="11.42578125" style="76" bestFit="1" customWidth="1"/>
    <col min="9993" max="9993" width="16.140625" style="76" customWidth="1"/>
    <col min="9994" max="9994" width="15.42578125" style="76" customWidth="1"/>
    <col min="9995" max="9995" width="8.85546875" style="76"/>
    <col min="9996" max="9996" width="11" style="76" customWidth="1"/>
    <col min="9997" max="10240" width="8.85546875" style="76"/>
    <col min="10241" max="10241" width="23.140625" style="76" customWidth="1"/>
    <col min="10242" max="10242" width="17.28515625" style="76" customWidth="1"/>
    <col min="10243" max="10243" width="8.85546875" style="76"/>
    <col min="10244" max="10244" width="23.42578125" style="76" customWidth="1"/>
    <col min="10245" max="10245" width="19.7109375" style="76" customWidth="1"/>
    <col min="10246" max="10246" width="25.42578125" style="76" customWidth="1"/>
    <col min="10247" max="10247" width="24.42578125" style="76" customWidth="1"/>
    <col min="10248" max="10248" width="11.42578125" style="76" bestFit="1" customWidth="1"/>
    <col min="10249" max="10249" width="16.140625" style="76" customWidth="1"/>
    <col min="10250" max="10250" width="15.42578125" style="76" customWidth="1"/>
    <col min="10251" max="10251" width="8.85546875" style="76"/>
    <col min="10252" max="10252" width="11" style="76" customWidth="1"/>
    <col min="10253" max="10496" width="8.85546875" style="76"/>
    <col min="10497" max="10497" width="23.140625" style="76" customWidth="1"/>
    <col min="10498" max="10498" width="17.28515625" style="76" customWidth="1"/>
    <col min="10499" max="10499" width="8.85546875" style="76"/>
    <col min="10500" max="10500" width="23.42578125" style="76" customWidth="1"/>
    <col min="10501" max="10501" width="19.7109375" style="76" customWidth="1"/>
    <col min="10502" max="10502" width="25.42578125" style="76" customWidth="1"/>
    <col min="10503" max="10503" width="24.42578125" style="76" customWidth="1"/>
    <col min="10504" max="10504" width="11.42578125" style="76" bestFit="1" customWidth="1"/>
    <col min="10505" max="10505" width="16.140625" style="76" customWidth="1"/>
    <col min="10506" max="10506" width="15.42578125" style="76" customWidth="1"/>
    <col min="10507" max="10507" width="8.85546875" style="76"/>
    <col min="10508" max="10508" width="11" style="76" customWidth="1"/>
    <col min="10509" max="10752" width="8.85546875" style="76"/>
    <col min="10753" max="10753" width="23.140625" style="76" customWidth="1"/>
    <col min="10754" max="10754" width="17.28515625" style="76" customWidth="1"/>
    <col min="10755" max="10755" width="8.85546875" style="76"/>
    <col min="10756" max="10756" width="23.42578125" style="76" customWidth="1"/>
    <col min="10757" max="10757" width="19.7109375" style="76" customWidth="1"/>
    <col min="10758" max="10758" width="25.42578125" style="76" customWidth="1"/>
    <col min="10759" max="10759" width="24.42578125" style="76" customWidth="1"/>
    <col min="10760" max="10760" width="11.42578125" style="76" bestFit="1" customWidth="1"/>
    <col min="10761" max="10761" width="16.140625" style="76" customWidth="1"/>
    <col min="10762" max="10762" width="15.42578125" style="76" customWidth="1"/>
    <col min="10763" max="10763" width="8.85546875" style="76"/>
    <col min="10764" max="10764" width="11" style="76" customWidth="1"/>
    <col min="10765" max="11008" width="8.85546875" style="76"/>
    <col min="11009" max="11009" width="23.140625" style="76" customWidth="1"/>
    <col min="11010" max="11010" width="17.28515625" style="76" customWidth="1"/>
    <col min="11011" max="11011" width="8.85546875" style="76"/>
    <col min="11012" max="11012" width="23.42578125" style="76" customWidth="1"/>
    <col min="11013" max="11013" width="19.7109375" style="76" customWidth="1"/>
    <col min="11014" max="11014" width="25.42578125" style="76" customWidth="1"/>
    <col min="11015" max="11015" width="24.42578125" style="76" customWidth="1"/>
    <col min="11016" max="11016" width="11.42578125" style="76" bestFit="1" customWidth="1"/>
    <col min="11017" max="11017" width="16.140625" style="76" customWidth="1"/>
    <col min="11018" max="11018" width="15.42578125" style="76" customWidth="1"/>
    <col min="11019" max="11019" width="8.85546875" style="76"/>
    <col min="11020" max="11020" width="11" style="76" customWidth="1"/>
    <col min="11021" max="11264" width="8.85546875" style="76"/>
    <col min="11265" max="11265" width="23.140625" style="76" customWidth="1"/>
    <col min="11266" max="11266" width="17.28515625" style="76" customWidth="1"/>
    <col min="11267" max="11267" width="8.85546875" style="76"/>
    <col min="11268" max="11268" width="23.42578125" style="76" customWidth="1"/>
    <col min="11269" max="11269" width="19.7109375" style="76" customWidth="1"/>
    <col min="11270" max="11270" width="25.42578125" style="76" customWidth="1"/>
    <col min="11271" max="11271" width="24.42578125" style="76" customWidth="1"/>
    <col min="11272" max="11272" width="11.42578125" style="76" bestFit="1" customWidth="1"/>
    <col min="11273" max="11273" width="16.140625" style="76" customWidth="1"/>
    <col min="11274" max="11274" width="15.42578125" style="76" customWidth="1"/>
    <col min="11275" max="11275" width="8.85546875" style="76"/>
    <col min="11276" max="11276" width="11" style="76" customWidth="1"/>
    <col min="11277" max="11520" width="8.85546875" style="76"/>
    <col min="11521" max="11521" width="23.140625" style="76" customWidth="1"/>
    <col min="11522" max="11522" width="17.28515625" style="76" customWidth="1"/>
    <col min="11523" max="11523" width="8.85546875" style="76"/>
    <col min="11524" max="11524" width="23.42578125" style="76" customWidth="1"/>
    <col min="11525" max="11525" width="19.7109375" style="76" customWidth="1"/>
    <col min="11526" max="11526" width="25.42578125" style="76" customWidth="1"/>
    <col min="11527" max="11527" width="24.42578125" style="76" customWidth="1"/>
    <col min="11528" max="11528" width="11.42578125" style="76" bestFit="1" customWidth="1"/>
    <col min="11529" max="11529" width="16.140625" style="76" customWidth="1"/>
    <col min="11530" max="11530" width="15.42578125" style="76" customWidth="1"/>
    <col min="11531" max="11531" width="8.85546875" style="76"/>
    <col min="11532" max="11532" width="11" style="76" customWidth="1"/>
    <col min="11533" max="11776" width="8.85546875" style="76"/>
    <col min="11777" max="11777" width="23.140625" style="76" customWidth="1"/>
    <col min="11778" max="11778" width="17.28515625" style="76" customWidth="1"/>
    <col min="11779" max="11779" width="8.85546875" style="76"/>
    <col min="11780" max="11780" width="23.42578125" style="76" customWidth="1"/>
    <col min="11781" max="11781" width="19.7109375" style="76" customWidth="1"/>
    <col min="11782" max="11782" width="25.42578125" style="76" customWidth="1"/>
    <col min="11783" max="11783" width="24.42578125" style="76" customWidth="1"/>
    <col min="11784" max="11784" width="11.42578125" style="76" bestFit="1" customWidth="1"/>
    <col min="11785" max="11785" width="16.140625" style="76" customWidth="1"/>
    <col min="11786" max="11786" width="15.42578125" style="76" customWidth="1"/>
    <col min="11787" max="11787" width="8.85546875" style="76"/>
    <col min="11788" max="11788" width="11" style="76" customWidth="1"/>
    <col min="11789" max="12032" width="8.85546875" style="76"/>
    <col min="12033" max="12033" width="23.140625" style="76" customWidth="1"/>
    <col min="12034" max="12034" width="17.28515625" style="76" customWidth="1"/>
    <col min="12035" max="12035" width="8.85546875" style="76"/>
    <col min="12036" max="12036" width="23.42578125" style="76" customWidth="1"/>
    <col min="12037" max="12037" width="19.7109375" style="76" customWidth="1"/>
    <col min="12038" max="12038" width="25.42578125" style="76" customWidth="1"/>
    <col min="12039" max="12039" width="24.42578125" style="76" customWidth="1"/>
    <col min="12040" max="12040" width="11.42578125" style="76" bestFit="1" customWidth="1"/>
    <col min="12041" max="12041" width="16.140625" style="76" customWidth="1"/>
    <col min="12042" max="12042" width="15.42578125" style="76" customWidth="1"/>
    <col min="12043" max="12043" width="8.85546875" style="76"/>
    <col min="12044" max="12044" width="11" style="76" customWidth="1"/>
    <col min="12045" max="12288" width="8.85546875" style="76"/>
    <col min="12289" max="12289" width="23.140625" style="76" customWidth="1"/>
    <col min="12290" max="12290" width="17.28515625" style="76" customWidth="1"/>
    <col min="12291" max="12291" width="8.85546875" style="76"/>
    <col min="12292" max="12292" width="23.42578125" style="76" customWidth="1"/>
    <col min="12293" max="12293" width="19.7109375" style="76" customWidth="1"/>
    <col min="12294" max="12294" width="25.42578125" style="76" customWidth="1"/>
    <col min="12295" max="12295" width="24.42578125" style="76" customWidth="1"/>
    <col min="12296" max="12296" width="11.42578125" style="76" bestFit="1" customWidth="1"/>
    <col min="12297" max="12297" width="16.140625" style="76" customWidth="1"/>
    <col min="12298" max="12298" width="15.42578125" style="76" customWidth="1"/>
    <col min="12299" max="12299" width="8.85546875" style="76"/>
    <col min="12300" max="12300" width="11" style="76" customWidth="1"/>
    <col min="12301" max="12544" width="8.85546875" style="76"/>
    <col min="12545" max="12545" width="23.140625" style="76" customWidth="1"/>
    <col min="12546" max="12546" width="17.28515625" style="76" customWidth="1"/>
    <col min="12547" max="12547" width="8.85546875" style="76"/>
    <col min="12548" max="12548" width="23.42578125" style="76" customWidth="1"/>
    <col min="12549" max="12549" width="19.7109375" style="76" customWidth="1"/>
    <col min="12550" max="12550" width="25.42578125" style="76" customWidth="1"/>
    <col min="12551" max="12551" width="24.42578125" style="76" customWidth="1"/>
    <col min="12552" max="12552" width="11.42578125" style="76" bestFit="1" customWidth="1"/>
    <col min="12553" max="12553" width="16.140625" style="76" customWidth="1"/>
    <col min="12554" max="12554" width="15.42578125" style="76" customWidth="1"/>
    <col min="12555" max="12555" width="8.85546875" style="76"/>
    <col min="12556" max="12556" width="11" style="76" customWidth="1"/>
    <col min="12557" max="12800" width="8.85546875" style="76"/>
    <col min="12801" max="12801" width="23.140625" style="76" customWidth="1"/>
    <col min="12802" max="12802" width="17.28515625" style="76" customWidth="1"/>
    <col min="12803" max="12803" width="8.85546875" style="76"/>
    <col min="12804" max="12804" width="23.42578125" style="76" customWidth="1"/>
    <col min="12805" max="12805" width="19.7109375" style="76" customWidth="1"/>
    <col min="12806" max="12806" width="25.42578125" style="76" customWidth="1"/>
    <col min="12807" max="12807" width="24.42578125" style="76" customWidth="1"/>
    <col min="12808" max="12808" width="11.42578125" style="76" bestFit="1" customWidth="1"/>
    <col min="12809" max="12809" width="16.140625" style="76" customWidth="1"/>
    <col min="12810" max="12810" width="15.42578125" style="76" customWidth="1"/>
    <col min="12811" max="12811" width="8.85546875" style="76"/>
    <col min="12812" max="12812" width="11" style="76" customWidth="1"/>
    <col min="12813" max="13056" width="8.85546875" style="76"/>
    <col min="13057" max="13057" width="23.140625" style="76" customWidth="1"/>
    <col min="13058" max="13058" width="17.28515625" style="76" customWidth="1"/>
    <col min="13059" max="13059" width="8.85546875" style="76"/>
    <col min="13060" max="13060" width="23.42578125" style="76" customWidth="1"/>
    <col min="13061" max="13061" width="19.7109375" style="76" customWidth="1"/>
    <col min="13062" max="13062" width="25.42578125" style="76" customWidth="1"/>
    <col min="13063" max="13063" width="24.42578125" style="76" customWidth="1"/>
    <col min="13064" max="13064" width="11.42578125" style="76" bestFit="1" customWidth="1"/>
    <col min="13065" max="13065" width="16.140625" style="76" customWidth="1"/>
    <col min="13066" max="13066" width="15.42578125" style="76" customWidth="1"/>
    <col min="13067" max="13067" width="8.85546875" style="76"/>
    <col min="13068" max="13068" width="11" style="76" customWidth="1"/>
    <col min="13069" max="13312" width="8.85546875" style="76"/>
    <col min="13313" max="13313" width="23.140625" style="76" customWidth="1"/>
    <col min="13314" max="13314" width="17.28515625" style="76" customWidth="1"/>
    <col min="13315" max="13315" width="8.85546875" style="76"/>
    <col min="13316" max="13316" width="23.42578125" style="76" customWidth="1"/>
    <col min="13317" max="13317" width="19.7109375" style="76" customWidth="1"/>
    <col min="13318" max="13318" width="25.42578125" style="76" customWidth="1"/>
    <col min="13319" max="13319" width="24.42578125" style="76" customWidth="1"/>
    <col min="13320" max="13320" width="11.42578125" style="76" bestFit="1" customWidth="1"/>
    <col min="13321" max="13321" width="16.140625" style="76" customWidth="1"/>
    <col min="13322" max="13322" width="15.42578125" style="76" customWidth="1"/>
    <col min="13323" max="13323" width="8.85546875" style="76"/>
    <col min="13324" max="13324" width="11" style="76" customWidth="1"/>
    <col min="13325" max="13568" width="8.85546875" style="76"/>
    <col min="13569" max="13569" width="23.140625" style="76" customWidth="1"/>
    <col min="13570" max="13570" width="17.28515625" style="76" customWidth="1"/>
    <col min="13571" max="13571" width="8.85546875" style="76"/>
    <col min="13572" max="13572" width="23.42578125" style="76" customWidth="1"/>
    <col min="13573" max="13573" width="19.7109375" style="76" customWidth="1"/>
    <col min="13574" max="13574" width="25.42578125" style="76" customWidth="1"/>
    <col min="13575" max="13575" width="24.42578125" style="76" customWidth="1"/>
    <col min="13576" max="13576" width="11.42578125" style="76" bestFit="1" customWidth="1"/>
    <col min="13577" max="13577" width="16.140625" style="76" customWidth="1"/>
    <col min="13578" max="13578" width="15.42578125" style="76" customWidth="1"/>
    <col min="13579" max="13579" width="8.85546875" style="76"/>
    <col min="13580" max="13580" width="11" style="76" customWidth="1"/>
    <col min="13581" max="13824" width="8.85546875" style="76"/>
    <col min="13825" max="13825" width="23.140625" style="76" customWidth="1"/>
    <col min="13826" max="13826" width="17.28515625" style="76" customWidth="1"/>
    <col min="13827" max="13827" width="8.85546875" style="76"/>
    <col min="13828" max="13828" width="23.42578125" style="76" customWidth="1"/>
    <col min="13829" max="13829" width="19.7109375" style="76" customWidth="1"/>
    <col min="13830" max="13830" width="25.42578125" style="76" customWidth="1"/>
    <col min="13831" max="13831" width="24.42578125" style="76" customWidth="1"/>
    <col min="13832" max="13832" width="11.42578125" style="76" bestFit="1" customWidth="1"/>
    <col min="13833" max="13833" width="16.140625" style="76" customWidth="1"/>
    <col min="13834" max="13834" width="15.42578125" style="76" customWidth="1"/>
    <col min="13835" max="13835" width="8.85546875" style="76"/>
    <col min="13836" max="13836" width="11" style="76" customWidth="1"/>
    <col min="13837" max="14080" width="8.85546875" style="76"/>
    <col min="14081" max="14081" width="23.140625" style="76" customWidth="1"/>
    <col min="14082" max="14082" width="17.28515625" style="76" customWidth="1"/>
    <col min="14083" max="14083" width="8.85546875" style="76"/>
    <col min="14084" max="14084" width="23.42578125" style="76" customWidth="1"/>
    <col min="14085" max="14085" width="19.7109375" style="76" customWidth="1"/>
    <col min="14086" max="14086" width="25.42578125" style="76" customWidth="1"/>
    <col min="14087" max="14087" width="24.42578125" style="76" customWidth="1"/>
    <col min="14088" max="14088" width="11.42578125" style="76" bestFit="1" customWidth="1"/>
    <col min="14089" max="14089" width="16.140625" style="76" customWidth="1"/>
    <col min="14090" max="14090" width="15.42578125" style="76" customWidth="1"/>
    <col min="14091" max="14091" width="8.85546875" style="76"/>
    <col min="14092" max="14092" width="11" style="76" customWidth="1"/>
    <col min="14093" max="14336" width="8.85546875" style="76"/>
    <col min="14337" max="14337" width="23.140625" style="76" customWidth="1"/>
    <col min="14338" max="14338" width="17.28515625" style="76" customWidth="1"/>
    <col min="14339" max="14339" width="8.85546875" style="76"/>
    <col min="14340" max="14340" width="23.42578125" style="76" customWidth="1"/>
    <col min="14341" max="14341" width="19.7109375" style="76" customWidth="1"/>
    <col min="14342" max="14342" width="25.42578125" style="76" customWidth="1"/>
    <col min="14343" max="14343" width="24.42578125" style="76" customWidth="1"/>
    <col min="14344" max="14344" width="11.42578125" style="76" bestFit="1" customWidth="1"/>
    <col min="14345" max="14345" width="16.140625" style="76" customWidth="1"/>
    <col min="14346" max="14346" width="15.42578125" style="76" customWidth="1"/>
    <col min="14347" max="14347" width="8.85546875" style="76"/>
    <col min="14348" max="14348" width="11" style="76" customWidth="1"/>
    <col min="14349" max="14592" width="8.85546875" style="76"/>
    <col min="14593" max="14593" width="23.140625" style="76" customWidth="1"/>
    <col min="14594" max="14594" width="17.28515625" style="76" customWidth="1"/>
    <col min="14595" max="14595" width="8.85546875" style="76"/>
    <col min="14596" max="14596" width="23.42578125" style="76" customWidth="1"/>
    <col min="14597" max="14597" width="19.7109375" style="76" customWidth="1"/>
    <col min="14598" max="14598" width="25.42578125" style="76" customWidth="1"/>
    <col min="14599" max="14599" width="24.42578125" style="76" customWidth="1"/>
    <col min="14600" max="14600" width="11.42578125" style="76" bestFit="1" customWidth="1"/>
    <col min="14601" max="14601" width="16.140625" style="76" customWidth="1"/>
    <col min="14602" max="14602" width="15.42578125" style="76" customWidth="1"/>
    <col min="14603" max="14603" width="8.85546875" style="76"/>
    <col min="14604" max="14604" width="11" style="76" customWidth="1"/>
    <col min="14605" max="14848" width="8.85546875" style="76"/>
    <col min="14849" max="14849" width="23.140625" style="76" customWidth="1"/>
    <col min="14850" max="14850" width="17.28515625" style="76" customWidth="1"/>
    <col min="14851" max="14851" width="8.85546875" style="76"/>
    <col min="14852" max="14852" width="23.42578125" style="76" customWidth="1"/>
    <col min="14853" max="14853" width="19.7109375" style="76" customWidth="1"/>
    <col min="14854" max="14854" width="25.42578125" style="76" customWidth="1"/>
    <col min="14855" max="14855" width="24.42578125" style="76" customWidth="1"/>
    <col min="14856" max="14856" width="11.42578125" style="76" bestFit="1" customWidth="1"/>
    <col min="14857" max="14857" width="16.140625" style="76" customWidth="1"/>
    <col min="14858" max="14858" width="15.42578125" style="76" customWidth="1"/>
    <col min="14859" max="14859" width="8.85546875" style="76"/>
    <col min="14860" max="14860" width="11" style="76" customWidth="1"/>
    <col min="14861" max="15104" width="8.85546875" style="76"/>
    <col min="15105" max="15105" width="23.140625" style="76" customWidth="1"/>
    <col min="15106" max="15106" width="17.28515625" style="76" customWidth="1"/>
    <col min="15107" max="15107" width="8.85546875" style="76"/>
    <col min="15108" max="15108" width="23.42578125" style="76" customWidth="1"/>
    <col min="15109" max="15109" width="19.7109375" style="76" customWidth="1"/>
    <col min="15110" max="15110" width="25.42578125" style="76" customWidth="1"/>
    <col min="15111" max="15111" width="24.42578125" style="76" customWidth="1"/>
    <col min="15112" max="15112" width="11.42578125" style="76" bestFit="1" customWidth="1"/>
    <col min="15113" max="15113" width="16.140625" style="76" customWidth="1"/>
    <col min="15114" max="15114" width="15.42578125" style="76" customWidth="1"/>
    <col min="15115" max="15115" width="8.85546875" style="76"/>
    <col min="15116" max="15116" width="11" style="76" customWidth="1"/>
    <col min="15117" max="15360" width="8.85546875" style="76"/>
    <col min="15361" max="15361" width="23.140625" style="76" customWidth="1"/>
    <col min="15362" max="15362" width="17.28515625" style="76" customWidth="1"/>
    <col min="15363" max="15363" width="8.85546875" style="76"/>
    <col min="15364" max="15364" width="23.42578125" style="76" customWidth="1"/>
    <col min="15365" max="15365" width="19.7109375" style="76" customWidth="1"/>
    <col min="15366" max="15366" width="25.42578125" style="76" customWidth="1"/>
    <col min="15367" max="15367" width="24.42578125" style="76" customWidth="1"/>
    <col min="15368" max="15368" width="11.42578125" style="76" bestFit="1" customWidth="1"/>
    <col min="15369" max="15369" width="16.140625" style="76" customWidth="1"/>
    <col min="15370" max="15370" width="15.42578125" style="76" customWidth="1"/>
    <col min="15371" max="15371" width="8.85546875" style="76"/>
    <col min="15372" max="15372" width="11" style="76" customWidth="1"/>
    <col min="15373" max="15616" width="8.85546875" style="76"/>
    <col min="15617" max="15617" width="23.140625" style="76" customWidth="1"/>
    <col min="15618" max="15618" width="17.28515625" style="76" customWidth="1"/>
    <col min="15619" max="15619" width="8.85546875" style="76"/>
    <col min="15620" max="15620" width="23.42578125" style="76" customWidth="1"/>
    <col min="15621" max="15621" width="19.7109375" style="76" customWidth="1"/>
    <col min="15622" max="15622" width="25.42578125" style="76" customWidth="1"/>
    <col min="15623" max="15623" width="24.42578125" style="76" customWidth="1"/>
    <col min="15624" max="15624" width="11.42578125" style="76" bestFit="1" customWidth="1"/>
    <col min="15625" max="15625" width="16.140625" style="76" customWidth="1"/>
    <col min="15626" max="15626" width="15.42578125" style="76" customWidth="1"/>
    <col min="15627" max="15627" width="8.85546875" style="76"/>
    <col min="15628" max="15628" width="11" style="76" customWidth="1"/>
    <col min="15629" max="15872" width="8.85546875" style="76"/>
    <col min="15873" max="15873" width="23.140625" style="76" customWidth="1"/>
    <col min="15874" max="15874" width="17.28515625" style="76" customWidth="1"/>
    <col min="15875" max="15875" width="8.85546875" style="76"/>
    <col min="15876" max="15876" width="23.42578125" style="76" customWidth="1"/>
    <col min="15877" max="15877" width="19.7109375" style="76" customWidth="1"/>
    <col min="15878" max="15878" width="25.42578125" style="76" customWidth="1"/>
    <col min="15879" max="15879" width="24.42578125" style="76" customWidth="1"/>
    <col min="15880" max="15880" width="11.42578125" style="76" bestFit="1" customWidth="1"/>
    <col min="15881" max="15881" width="16.140625" style="76" customWidth="1"/>
    <col min="15882" max="15882" width="15.42578125" style="76" customWidth="1"/>
    <col min="15883" max="15883" width="8.85546875" style="76"/>
    <col min="15884" max="15884" width="11" style="76" customWidth="1"/>
    <col min="15885" max="16128" width="8.85546875" style="76"/>
    <col min="16129" max="16129" width="23.140625" style="76" customWidth="1"/>
    <col min="16130" max="16130" width="17.28515625" style="76" customWidth="1"/>
    <col min="16131" max="16131" width="8.85546875" style="76"/>
    <col min="16132" max="16132" width="23.42578125" style="76" customWidth="1"/>
    <col min="16133" max="16133" width="19.7109375" style="76" customWidth="1"/>
    <col min="16134" max="16134" width="25.42578125" style="76" customWidth="1"/>
    <col min="16135" max="16135" width="24.42578125" style="76" customWidth="1"/>
    <col min="16136" max="16136" width="11.42578125" style="76" bestFit="1" customWidth="1"/>
    <col min="16137" max="16137" width="16.140625" style="76" customWidth="1"/>
    <col min="16138" max="16138" width="15.42578125" style="76" customWidth="1"/>
    <col min="16139" max="16139" width="8.85546875" style="76"/>
    <col min="16140" max="16140" width="11" style="76" customWidth="1"/>
    <col min="16141" max="16384" width="8.85546875" style="76"/>
  </cols>
  <sheetData>
    <row r="2" spans="2:24" x14ac:dyDescent="0.2">
      <c r="B2" s="2" t="s">
        <v>13</v>
      </c>
    </row>
    <row r="3" spans="2:24" x14ac:dyDescent="0.2">
      <c r="B3" s="76" t="s">
        <v>191</v>
      </c>
      <c r="V3" s="76"/>
      <c r="W3" s="76"/>
      <c r="X3" s="76"/>
    </row>
    <row r="4" spans="2:24" x14ac:dyDescent="0.2">
      <c r="B4" s="11" t="s">
        <v>205</v>
      </c>
      <c r="V4" s="76"/>
      <c r="W4" s="76"/>
      <c r="X4" s="76"/>
    </row>
    <row r="5" spans="2:24" ht="5.0999999999999996" customHeight="1" x14ac:dyDescent="0.2">
      <c r="V5" s="76"/>
      <c r="W5" s="76"/>
      <c r="X5" s="76"/>
    </row>
    <row r="6" spans="2:24" x14ac:dyDescent="0.2">
      <c r="B6" s="416" t="s">
        <v>1118</v>
      </c>
      <c r="C6" s="487"/>
      <c r="D6" s="16"/>
      <c r="H6" s="76"/>
      <c r="I6" s="76"/>
      <c r="J6" s="76"/>
      <c r="K6" s="76"/>
      <c r="L6" s="76"/>
      <c r="M6" s="76"/>
      <c r="N6" s="76"/>
      <c r="O6" s="76"/>
      <c r="P6" s="76"/>
      <c r="Q6" s="76"/>
      <c r="R6" s="76"/>
      <c r="S6" s="76"/>
      <c r="T6" s="76"/>
      <c r="U6" s="76"/>
      <c r="V6" s="76"/>
      <c r="W6" s="76"/>
      <c r="X6" s="76"/>
    </row>
    <row r="7" spans="2:24" x14ac:dyDescent="0.2">
      <c r="B7" s="510" t="s">
        <v>1098</v>
      </c>
      <c r="C7" s="511"/>
      <c r="D7" s="510"/>
      <c r="H7" s="76"/>
      <c r="I7" s="76"/>
      <c r="J7" s="76"/>
      <c r="K7" s="76"/>
      <c r="L7" s="76"/>
      <c r="M7" s="76"/>
      <c r="N7" s="76"/>
      <c r="O7" s="76"/>
      <c r="P7" s="76"/>
      <c r="Q7" s="76"/>
      <c r="R7" s="76"/>
      <c r="S7" s="76"/>
      <c r="T7" s="76"/>
      <c r="U7" s="76"/>
      <c r="V7" s="76"/>
      <c r="W7" s="76"/>
      <c r="X7" s="76"/>
    </row>
    <row r="8" spans="2:24" x14ac:dyDescent="0.2">
      <c r="B8" s="512"/>
      <c r="C8" s="513" t="s">
        <v>16</v>
      </c>
      <c r="D8" s="512"/>
      <c r="H8" s="76"/>
      <c r="I8" s="76"/>
      <c r="J8" s="76"/>
      <c r="K8" s="76"/>
      <c r="L8" s="76"/>
      <c r="M8" s="76"/>
      <c r="N8" s="76"/>
      <c r="O8" s="76"/>
      <c r="P8" s="76"/>
      <c r="Q8" s="76"/>
      <c r="R8" s="76"/>
      <c r="S8" s="76"/>
      <c r="T8" s="76"/>
      <c r="U8" s="76"/>
      <c r="V8" s="76"/>
      <c r="W8" s="76"/>
      <c r="X8" s="76"/>
    </row>
    <row r="9" spans="2:24" x14ac:dyDescent="0.2">
      <c r="B9" s="512"/>
      <c r="C9" s="513" t="s">
        <v>192</v>
      </c>
      <c r="D9" s="512"/>
      <c r="H9" s="76"/>
      <c r="I9" s="76"/>
      <c r="J9" s="76"/>
      <c r="K9" s="76"/>
      <c r="L9" s="76"/>
      <c r="M9" s="76"/>
      <c r="N9" s="76"/>
      <c r="O9" s="76"/>
      <c r="P9" s="76"/>
      <c r="Q9" s="76"/>
      <c r="R9" s="76"/>
      <c r="S9" s="76"/>
      <c r="T9" s="76"/>
      <c r="U9" s="76"/>
      <c r="V9" s="76"/>
      <c r="W9" s="76"/>
      <c r="X9" s="76"/>
    </row>
    <row r="10" spans="2:24" x14ac:dyDescent="0.2">
      <c r="B10" s="514"/>
      <c r="C10" s="515" t="s">
        <v>193</v>
      </c>
      <c r="D10" s="514"/>
    </row>
    <row r="11" spans="2:24" x14ac:dyDescent="0.2">
      <c r="B11" s="514"/>
      <c r="C11" s="515" t="s">
        <v>1113</v>
      </c>
      <c r="D11" s="514"/>
    </row>
    <row r="12" spans="2:24" x14ac:dyDescent="0.2">
      <c r="B12" s="514"/>
      <c r="C12" s="515" t="s">
        <v>1099</v>
      </c>
      <c r="D12" s="514"/>
    </row>
    <row r="13" spans="2:24" x14ac:dyDescent="0.2">
      <c r="B13" s="514"/>
      <c r="C13" s="515" t="s">
        <v>1114</v>
      </c>
      <c r="D13" s="514"/>
    </row>
    <row r="14" spans="2:24" x14ac:dyDescent="0.2">
      <c r="B14" s="514"/>
      <c r="C14" s="515" t="s">
        <v>1100</v>
      </c>
      <c r="D14" s="514"/>
    </row>
    <row r="15" spans="2:24" x14ac:dyDescent="0.2">
      <c r="B15" s="490" t="s">
        <v>1110</v>
      </c>
      <c r="C15" s="491"/>
      <c r="D15" s="490"/>
    </row>
    <row r="16" spans="2:24" x14ac:dyDescent="0.2">
      <c r="B16" s="492"/>
      <c r="C16" s="493" t="s">
        <v>1111</v>
      </c>
      <c r="D16" s="492"/>
    </row>
    <row r="17" spans="2:6" x14ac:dyDescent="0.2">
      <c r="B17" s="492"/>
      <c r="C17" s="493" t="s">
        <v>1112</v>
      </c>
      <c r="D17" s="492"/>
    </row>
    <row r="18" spans="2:6" x14ac:dyDescent="0.2">
      <c r="B18" s="494" t="s">
        <v>193</v>
      </c>
      <c r="C18" s="495"/>
      <c r="D18" s="494"/>
    </row>
    <row r="19" spans="2:6" x14ac:dyDescent="0.2">
      <c r="B19" s="496"/>
      <c r="C19" s="497" t="s">
        <v>198</v>
      </c>
      <c r="D19" s="502"/>
    </row>
    <row r="20" spans="2:6" x14ac:dyDescent="0.2">
      <c r="B20" s="496"/>
      <c r="C20" s="497" t="s">
        <v>199</v>
      </c>
      <c r="D20" s="502"/>
    </row>
    <row r="21" spans="2:6" ht="14.25" customHeight="1" x14ac:dyDescent="0.2">
      <c r="B21" s="496"/>
      <c r="C21" s="503" t="s">
        <v>200</v>
      </c>
      <c r="D21" s="503"/>
      <c r="E21" s="17"/>
      <c r="F21" s="17"/>
    </row>
    <row r="22" spans="2:6" x14ac:dyDescent="0.2">
      <c r="B22" s="496"/>
      <c r="C22" s="497" t="s">
        <v>201</v>
      </c>
      <c r="D22" s="502"/>
    </row>
    <row r="23" spans="2:6" x14ac:dyDescent="0.2">
      <c r="B23" s="498" t="s">
        <v>1115</v>
      </c>
      <c r="C23" s="499"/>
      <c r="D23" s="498"/>
    </row>
    <row r="24" spans="2:6" x14ac:dyDescent="0.2">
      <c r="B24" s="500"/>
      <c r="C24" s="501" t="s">
        <v>1101</v>
      </c>
      <c r="D24" s="500"/>
    </row>
    <row r="25" spans="2:6" x14ac:dyDescent="0.2">
      <c r="B25" s="500"/>
      <c r="C25" s="501" t="s">
        <v>1102</v>
      </c>
      <c r="D25" s="500"/>
    </row>
    <row r="26" spans="2:6" x14ac:dyDescent="0.2">
      <c r="B26" s="500"/>
      <c r="C26" s="501" t="s">
        <v>24</v>
      </c>
      <c r="D26" s="500"/>
    </row>
    <row r="27" spans="2:6" x14ac:dyDescent="0.2">
      <c r="B27" s="500"/>
      <c r="C27" s="501" t="s">
        <v>1103</v>
      </c>
      <c r="D27" s="500"/>
    </row>
    <row r="28" spans="2:6" x14ac:dyDescent="0.2">
      <c r="B28" s="516" t="s">
        <v>1095</v>
      </c>
      <c r="C28" s="517"/>
      <c r="D28" s="518"/>
    </row>
    <row r="29" spans="2:6" x14ac:dyDescent="0.2">
      <c r="B29" s="519"/>
      <c r="C29" s="520" t="s">
        <v>1097</v>
      </c>
      <c r="D29" s="521"/>
    </row>
    <row r="30" spans="2:6" x14ac:dyDescent="0.2">
      <c r="B30" s="519"/>
      <c r="C30" s="522" t="s">
        <v>212</v>
      </c>
      <c r="D30" s="521"/>
    </row>
    <row r="31" spans="2:6" x14ac:dyDescent="0.2">
      <c r="B31" s="519"/>
      <c r="C31" s="522" t="s">
        <v>1096</v>
      </c>
      <c r="D31" s="521"/>
    </row>
    <row r="32" spans="2:6" x14ac:dyDescent="0.2">
      <c r="B32" s="519"/>
      <c r="C32" s="522" t="s">
        <v>1119</v>
      </c>
      <c r="D32" s="521"/>
    </row>
    <row r="33" spans="2:4" x14ac:dyDescent="0.2">
      <c r="B33" s="504" t="s">
        <v>1116</v>
      </c>
      <c r="C33" s="505"/>
      <c r="D33" s="504"/>
    </row>
    <row r="34" spans="2:4" x14ac:dyDescent="0.2">
      <c r="B34" s="506"/>
      <c r="C34" s="507" t="s">
        <v>1117</v>
      </c>
      <c r="D34" s="506"/>
    </row>
    <row r="35" spans="2:4" x14ac:dyDescent="0.2">
      <c r="B35" s="508"/>
      <c r="C35" s="509" t="s">
        <v>1104</v>
      </c>
      <c r="D35" s="508"/>
    </row>
    <row r="36" spans="2:4" x14ac:dyDescent="0.2">
      <c r="B36" s="508"/>
      <c r="C36" s="509" t="s">
        <v>1105</v>
      </c>
      <c r="D36" s="508"/>
    </row>
    <row r="37" spans="2:4" x14ac:dyDescent="0.2">
      <c r="B37" s="508"/>
      <c r="C37" s="509" t="s">
        <v>1106</v>
      </c>
      <c r="D37" s="508"/>
    </row>
    <row r="38" spans="2:4" x14ac:dyDescent="0.2">
      <c r="B38" s="508"/>
      <c r="C38" s="509" t="s">
        <v>1107</v>
      </c>
      <c r="D38" s="508"/>
    </row>
    <row r="39" spans="2:4" x14ac:dyDescent="0.2">
      <c r="B39" s="508"/>
      <c r="C39" s="509" t="s">
        <v>1108</v>
      </c>
      <c r="D39" s="508"/>
    </row>
    <row r="40" spans="2:4" x14ac:dyDescent="0.2">
      <c r="B40" s="508"/>
      <c r="C40" s="509" t="s">
        <v>1109</v>
      </c>
      <c r="D40" s="508"/>
    </row>
    <row r="41" spans="2:4" x14ac:dyDescent="0.2">
      <c r="B41" s="76"/>
      <c r="C41" s="76"/>
      <c r="D41" s="76"/>
    </row>
    <row r="42" spans="2:4" x14ac:dyDescent="0.2">
      <c r="B42" s="76"/>
      <c r="C42" s="76"/>
      <c r="D42" s="76"/>
    </row>
    <row r="43" spans="2:4" x14ac:dyDescent="0.2">
      <c r="B43" s="76"/>
      <c r="C43" s="76"/>
      <c r="D43" s="76"/>
    </row>
    <row r="44" spans="2:4" x14ac:dyDescent="0.2">
      <c r="B44" s="76"/>
      <c r="C44" s="76"/>
      <c r="D44" s="76"/>
    </row>
    <row r="45" spans="2:4" x14ac:dyDescent="0.2">
      <c r="B45" s="76"/>
      <c r="C45" s="76"/>
      <c r="D45" s="76"/>
    </row>
  </sheetData>
  <pageMargins left="0.25" right="0.25" top="0.75" bottom="0.75" header="0.3" footer="0.3"/>
  <pageSetup firstPageNumber="10"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E73"/>
  <sheetViews>
    <sheetView showGridLines="0" view="pageBreakPreview" zoomScaleSheetLayoutView="100" workbookViewId="0"/>
  </sheetViews>
  <sheetFormatPr defaultColWidth="8.85546875" defaultRowHeight="12.75" x14ac:dyDescent="0.2"/>
  <cols>
    <col min="1" max="1" width="8.85546875" style="6"/>
    <col min="2" max="2" width="6.7109375" style="6" customWidth="1"/>
    <col min="3" max="3" width="9.7109375" style="6" customWidth="1"/>
    <col min="4" max="4" width="14.7109375" style="6" customWidth="1"/>
    <col min="5" max="5" width="15.7109375" style="6" customWidth="1"/>
    <col min="6" max="207" width="8.85546875" style="6"/>
    <col min="208" max="208" width="37.42578125" style="6" customWidth="1"/>
    <col min="209" max="211" width="0" style="6" hidden="1" customWidth="1"/>
    <col min="212" max="212" width="15.42578125" style="6" bestFit="1" customWidth="1"/>
    <col min="213" max="213" width="16.140625" style="6" customWidth="1"/>
    <col min="214" max="214" width="14.42578125" style="6" customWidth="1"/>
    <col min="215" max="215" width="13" style="6" customWidth="1"/>
    <col min="216" max="241" width="12.7109375" style="6" customWidth="1"/>
    <col min="242" max="463" width="8.85546875" style="6"/>
    <col min="464" max="464" width="37.42578125" style="6" customWidth="1"/>
    <col min="465" max="467" width="0" style="6" hidden="1" customWidth="1"/>
    <col min="468" max="468" width="15.42578125" style="6" bestFit="1" customWidth="1"/>
    <col min="469" max="469" width="16.140625" style="6" customWidth="1"/>
    <col min="470" max="470" width="14.42578125" style="6" customWidth="1"/>
    <col min="471" max="471" width="13" style="6" customWidth="1"/>
    <col min="472" max="497" width="12.7109375" style="6" customWidth="1"/>
    <col min="498" max="719" width="8.85546875" style="6"/>
    <col min="720" max="720" width="37.42578125" style="6" customWidth="1"/>
    <col min="721" max="723" width="0" style="6" hidden="1" customWidth="1"/>
    <col min="724" max="724" width="15.42578125" style="6" bestFit="1" customWidth="1"/>
    <col min="725" max="725" width="16.140625" style="6" customWidth="1"/>
    <col min="726" max="726" width="14.42578125" style="6" customWidth="1"/>
    <col min="727" max="727" width="13" style="6" customWidth="1"/>
    <col min="728" max="753" width="12.7109375" style="6" customWidth="1"/>
    <col min="754" max="975" width="8.85546875" style="6"/>
    <col min="976" max="976" width="37.42578125" style="6" customWidth="1"/>
    <col min="977" max="979" width="0" style="6" hidden="1" customWidth="1"/>
    <col min="980" max="980" width="15.42578125" style="6" bestFit="1" customWidth="1"/>
    <col min="981" max="981" width="16.140625" style="6" customWidth="1"/>
    <col min="982" max="982" width="14.42578125" style="6" customWidth="1"/>
    <col min="983" max="983" width="13" style="6" customWidth="1"/>
    <col min="984" max="1009" width="12.7109375" style="6" customWidth="1"/>
    <col min="1010" max="1231" width="8.85546875" style="6"/>
    <col min="1232" max="1232" width="37.42578125" style="6" customWidth="1"/>
    <col min="1233" max="1235" width="0" style="6" hidden="1" customWidth="1"/>
    <col min="1236" max="1236" width="15.42578125" style="6" bestFit="1" customWidth="1"/>
    <col min="1237" max="1237" width="16.140625" style="6" customWidth="1"/>
    <col min="1238" max="1238" width="14.42578125" style="6" customWidth="1"/>
    <col min="1239" max="1239" width="13" style="6" customWidth="1"/>
    <col min="1240" max="1265" width="12.7109375" style="6" customWidth="1"/>
    <col min="1266" max="1487" width="8.85546875" style="6"/>
    <col min="1488" max="1488" width="37.42578125" style="6" customWidth="1"/>
    <col min="1489" max="1491" width="0" style="6" hidden="1" customWidth="1"/>
    <col min="1492" max="1492" width="15.42578125" style="6" bestFit="1" customWidth="1"/>
    <col min="1493" max="1493" width="16.140625" style="6" customWidth="1"/>
    <col min="1494" max="1494" width="14.42578125" style="6" customWidth="1"/>
    <col min="1495" max="1495" width="13" style="6" customWidth="1"/>
    <col min="1496" max="1521" width="12.7109375" style="6" customWidth="1"/>
    <col min="1522" max="1743" width="8.85546875" style="6"/>
    <col min="1744" max="1744" width="37.42578125" style="6" customWidth="1"/>
    <col min="1745" max="1747" width="0" style="6" hidden="1" customWidth="1"/>
    <col min="1748" max="1748" width="15.42578125" style="6" bestFit="1" customWidth="1"/>
    <col min="1749" max="1749" width="16.140625" style="6" customWidth="1"/>
    <col min="1750" max="1750" width="14.42578125" style="6" customWidth="1"/>
    <col min="1751" max="1751" width="13" style="6" customWidth="1"/>
    <col min="1752" max="1777" width="12.7109375" style="6" customWidth="1"/>
    <col min="1778" max="1999" width="8.85546875" style="6"/>
    <col min="2000" max="2000" width="37.42578125" style="6" customWidth="1"/>
    <col min="2001" max="2003" width="0" style="6" hidden="1" customWidth="1"/>
    <col min="2004" max="2004" width="15.42578125" style="6" bestFit="1" customWidth="1"/>
    <col min="2005" max="2005" width="16.140625" style="6" customWidth="1"/>
    <col min="2006" max="2006" width="14.42578125" style="6" customWidth="1"/>
    <col min="2007" max="2007" width="13" style="6" customWidth="1"/>
    <col min="2008" max="2033" width="12.7109375" style="6" customWidth="1"/>
    <col min="2034" max="2255" width="8.85546875" style="6"/>
    <col min="2256" max="2256" width="37.42578125" style="6" customWidth="1"/>
    <col min="2257" max="2259" width="0" style="6" hidden="1" customWidth="1"/>
    <col min="2260" max="2260" width="15.42578125" style="6" bestFit="1" customWidth="1"/>
    <col min="2261" max="2261" width="16.140625" style="6" customWidth="1"/>
    <col min="2262" max="2262" width="14.42578125" style="6" customWidth="1"/>
    <col min="2263" max="2263" width="13" style="6" customWidth="1"/>
    <col min="2264" max="2289" width="12.7109375" style="6" customWidth="1"/>
    <col min="2290" max="2511" width="8.85546875" style="6"/>
    <col min="2512" max="2512" width="37.42578125" style="6" customWidth="1"/>
    <col min="2513" max="2515" width="0" style="6" hidden="1" customWidth="1"/>
    <col min="2516" max="2516" width="15.42578125" style="6" bestFit="1" customWidth="1"/>
    <col min="2517" max="2517" width="16.140625" style="6" customWidth="1"/>
    <col min="2518" max="2518" width="14.42578125" style="6" customWidth="1"/>
    <col min="2519" max="2519" width="13" style="6" customWidth="1"/>
    <col min="2520" max="2545" width="12.7109375" style="6" customWidth="1"/>
    <col min="2546" max="2767" width="8.85546875" style="6"/>
    <col min="2768" max="2768" width="37.42578125" style="6" customWidth="1"/>
    <col min="2769" max="2771" width="0" style="6" hidden="1" customWidth="1"/>
    <col min="2772" max="2772" width="15.42578125" style="6" bestFit="1" customWidth="1"/>
    <col min="2773" max="2773" width="16.140625" style="6" customWidth="1"/>
    <col min="2774" max="2774" width="14.42578125" style="6" customWidth="1"/>
    <col min="2775" max="2775" width="13" style="6" customWidth="1"/>
    <col min="2776" max="2801" width="12.7109375" style="6" customWidth="1"/>
    <col min="2802" max="3023" width="8.85546875" style="6"/>
    <col min="3024" max="3024" width="37.42578125" style="6" customWidth="1"/>
    <col min="3025" max="3027" width="0" style="6" hidden="1" customWidth="1"/>
    <col min="3028" max="3028" width="15.42578125" style="6" bestFit="1" customWidth="1"/>
    <col min="3029" max="3029" width="16.140625" style="6" customWidth="1"/>
    <col min="3030" max="3030" width="14.42578125" style="6" customWidth="1"/>
    <col min="3031" max="3031" width="13" style="6" customWidth="1"/>
    <col min="3032" max="3057" width="12.7109375" style="6" customWidth="1"/>
    <col min="3058" max="3279" width="8.85546875" style="6"/>
    <col min="3280" max="3280" width="37.42578125" style="6" customWidth="1"/>
    <col min="3281" max="3283" width="0" style="6" hidden="1" customWidth="1"/>
    <col min="3284" max="3284" width="15.42578125" style="6" bestFit="1" customWidth="1"/>
    <col min="3285" max="3285" width="16.140625" style="6" customWidth="1"/>
    <col min="3286" max="3286" width="14.42578125" style="6" customWidth="1"/>
    <col min="3287" max="3287" width="13" style="6" customWidth="1"/>
    <col min="3288" max="3313" width="12.7109375" style="6" customWidth="1"/>
    <col min="3314" max="3535" width="8.85546875" style="6"/>
    <col min="3536" max="3536" width="37.42578125" style="6" customWidth="1"/>
    <col min="3537" max="3539" width="0" style="6" hidden="1" customWidth="1"/>
    <col min="3540" max="3540" width="15.42578125" style="6" bestFit="1" customWidth="1"/>
    <col min="3541" max="3541" width="16.140625" style="6" customWidth="1"/>
    <col min="3542" max="3542" width="14.42578125" style="6" customWidth="1"/>
    <col min="3543" max="3543" width="13" style="6" customWidth="1"/>
    <col min="3544" max="3569" width="12.7109375" style="6" customWidth="1"/>
    <col min="3570" max="3791" width="8.85546875" style="6"/>
    <col min="3792" max="3792" width="37.42578125" style="6" customWidth="1"/>
    <col min="3793" max="3795" width="0" style="6" hidden="1" customWidth="1"/>
    <col min="3796" max="3796" width="15.42578125" style="6" bestFit="1" customWidth="1"/>
    <col min="3797" max="3797" width="16.140625" style="6" customWidth="1"/>
    <col min="3798" max="3798" width="14.42578125" style="6" customWidth="1"/>
    <col min="3799" max="3799" width="13" style="6" customWidth="1"/>
    <col min="3800" max="3825" width="12.7109375" style="6" customWidth="1"/>
    <col min="3826" max="4047" width="8.85546875" style="6"/>
    <col min="4048" max="4048" width="37.42578125" style="6" customWidth="1"/>
    <col min="4049" max="4051" width="0" style="6" hidden="1" customWidth="1"/>
    <col min="4052" max="4052" width="15.42578125" style="6" bestFit="1" customWidth="1"/>
    <col min="4053" max="4053" width="16.140625" style="6" customWidth="1"/>
    <col min="4054" max="4054" width="14.42578125" style="6" customWidth="1"/>
    <col min="4055" max="4055" width="13" style="6" customWidth="1"/>
    <col min="4056" max="4081" width="12.7109375" style="6" customWidth="1"/>
    <col min="4082" max="4303" width="8.85546875" style="6"/>
    <col min="4304" max="4304" width="37.42578125" style="6" customWidth="1"/>
    <col min="4305" max="4307" width="0" style="6" hidden="1" customWidth="1"/>
    <col min="4308" max="4308" width="15.42578125" style="6" bestFit="1" customWidth="1"/>
    <col min="4309" max="4309" width="16.140625" style="6" customWidth="1"/>
    <col min="4310" max="4310" width="14.42578125" style="6" customWidth="1"/>
    <col min="4311" max="4311" width="13" style="6" customWidth="1"/>
    <col min="4312" max="4337" width="12.7109375" style="6" customWidth="1"/>
    <col min="4338" max="4559" width="8.85546875" style="6"/>
    <col min="4560" max="4560" width="37.42578125" style="6" customWidth="1"/>
    <col min="4561" max="4563" width="0" style="6" hidden="1" customWidth="1"/>
    <col min="4564" max="4564" width="15.42578125" style="6" bestFit="1" customWidth="1"/>
    <col min="4565" max="4565" width="16.140625" style="6" customWidth="1"/>
    <col min="4566" max="4566" width="14.42578125" style="6" customWidth="1"/>
    <col min="4567" max="4567" width="13" style="6" customWidth="1"/>
    <col min="4568" max="4593" width="12.7109375" style="6" customWidth="1"/>
    <col min="4594" max="4815" width="8.85546875" style="6"/>
    <col min="4816" max="4816" width="37.42578125" style="6" customWidth="1"/>
    <col min="4817" max="4819" width="0" style="6" hidden="1" customWidth="1"/>
    <col min="4820" max="4820" width="15.42578125" style="6" bestFit="1" customWidth="1"/>
    <col min="4821" max="4821" width="16.140625" style="6" customWidth="1"/>
    <col min="4822" max="4822" width="14.42578125" style="6" customWidth="1"/>
    <col min="4823" max="4823" width="13" style="6" customWidth="1"/>
    <col min="4824" max="4849" width="12.7109375" style="6" customWidth="1"/>
    <col min="4850" max="5071" width="8.85546875" style="6"/>
    <col min="5072" max="5072" width="37.42578125" style="6" customWidth="1"/>
    <col min="5073" max="5075" width="0" style="6" hidden="1" customWidth="1"/>
    <col min="5076" max="5076" width="15.42578125" style="6" bestFit="1" customWidth="1"/>
    <col min="5077" max="5077" width="16.140625" style="6" customWidth="1"/>
    <col min="5078" max="5078" width="14.42578125" style="6" customWidth="1"/>
    <col min="5079" max="5079" width="13" style="6" customWidth="1"/>
    <col min="5080" max="5105" width="12.7109375" style="6" customWidth="1"/>
    <col min="5106" max="5327" width="8.85546875" style="6"/>
    <col min="5328" max="5328" width="37.42578125" style="6" customWidth="1"/>
    <col min="5329" max="5331" width="0" style="6" hidden="1" customWidth="1"/>
    <col min="5332" max="5332" width="15.42578125" style="6" bestFit="1" customWidth="1"/>
    <col min="5333" max="5333" width="16.140625" style="6" customWidth="1"/>
    <col min="5334" max="5334" width="14.42578125" style="6" customWidth="1"/>
    <col min="5335" max="5335" width="13" style="6" customWidth="1"/>
    <col min="5336" max="5361" width="12.7109375" style="6" customWidth="1"/>
    <col min="5362" max="5583" width="8.85546875" style="6"/>
    <col min="5584" max="5584" width="37.42578125" style="6" customWidth="1"/>
    <col min="5585" max="5587" width="0" style="6" hidden="1" customWidth="1"/>
    <col min="5588" max="5588" width="15.42578125" style="6" bestFit="1" customWidth="1"/>
    <col min="5589" max="5589" width="16.140625" style="6" customWidth="1"/>
    <col min="5590" max="5590" width="14.42578125" style="6" customWidth="1"/>
    <col min="5591" max="5591" width="13" style="6" customWidth="1"/>
    <col min="5592" max="5617" width="12.7109375" style="6" customWidth="1"/>
    <col min="5618" max="5839" width="8.85546875" style="6"/>
    <col min="5840" max="5840" width="37.42578125" style="6" customWidth="1"/>
    <col min="5841" max="5843" width="0" style="6" hidden="1" customWidth="1"/>
    <col min="5844" max="5844" width="15.42578125" style="6" bestFit="1" customWidth="1"/>
    <col min="5845" max="5845" width="16.140625" style="6" customWidth="1"/>
    <col min="5846" max="5846" width="14.42578125" style="6" customWidth="1"/>
    <col min="5847" max="5847" width="13" style="6" customWidth="1"/>
    <col min="5848" max="5873" width="12.7109375" style="6" customWidth="1"/>
    <col min="5874" max="6095" width="8.85546875" style="6"/>
    <col min="6096" max="6096" width="37.42578125" style="6" customWidth="1"/>
    <col min="6097" max="6099" width="0" style="6" hidden="1" customWidth="1"/>
    <col min="6100" max="6100" width="15.42578125" style="6" bestFit="1" customWidth="1"/>
    <col min="6101" max="6101" width="16.140625" style="6" customWidth="1"/>
    <col min="6102" max="6102" width="14.42578125" style="6" customWidth="1"/>
    <col min="6103" max="6103" width="13" style="6" customWidth="1"/>
    <col min="6104" max="6129" width="12.7109375" style="6" customWidth="1"/>
    <col min="6130" max="6351" width="8.85546875" style="6"/>
    <col min="6352" max="6352" width="37.42578125" style="6" customWidth="1"/>
    <col min="6353" max="6355" width="0" style="6" hidden="1" customWidth="1"/>
    <col min="6356" max="6356" width="15.42578125" style="6" bestFit="1" customWidth="1"/>
    <col min="6357" max="6357" width="16.140625" style="6" customWidth="1"/>
    <col min="6358" max="6358" width="14.42578125" style="6" customWidth="1"/>
    <col min="6359" max="6359" width="13" style="6" customWidth="1"/>
    <col min="6360" max="6385" width="12.7109375" style="6" customWidth="1"/>
    <col min="6386" max="6607" width="8.85546875" style="6"/>
    <col min="6608" max="6608" width="37.42578125" style="6" customWidth="1"/>
    <col min="6609" max="6611" width="0" style="6" hidden="1" customWidth="1"/>
    <col min="6612" max="6612" width="15.42578125" style="6" bestFit="1" customWidth="1"/>
    <col min="6613" max="6613" width="16.140625" style="6" customWidth="1"/>
    <col min="6614" max="6614" width="14.42578125" style="6" customWidth="1"/>
    <col min="6615" max="6615" width="13" style="6" customWidth="1"/>
    <col min="6616" max="6641" width="12.7109375" style="6" customWidth="1"/>
    <col min="6642" max="6863" width="8.85546875" style="6"/>
    <col min="6864" max="6864" width="37.42578125" style="6" customWidth="1"/>
    <col min="6865" max="6867" width="0" style="6" hidden="1" customWidth="1"/>
    <col min="6868" max="6868" width="15.42578125" style="6" bestFit="1" customWidth="1"/>
    <col min="6869" max="6869" width="16.140625" style="6" customWidth="1"/>
    <col min="6870" max="6870" width="14.42578125" style="6" customWidth="1"/>
    <col min="6871" max="6871" width="13" style="6" customWidth="1"/>
    <col min="6872" max="6897" width="12.7109375" style="6" customWidth="1"/>
    <col min="6898" max="7119" width="8.85546875" style="6"/>
    <col min="7120" max="7120" width="37.42578125" style="6" customWidth="1"/>
    <col min="7121" max="7123" width="0" style="6" hidden="1" customWidth="1"/>
    <col min="7124" max="7124" width="15.42578125" style="6" bestFit="1" customWidth="1"/>
    <col min="7125" max="7125" width="16.140625" style="6" customWidth="1"/>
    <col min="7126" max="7126" width="14.42578125" style="6" customWidth="1"/>
    <col min="7127" max="7127" width="13" style="6" customWidth="1"/>
    <col min="7128" max="7153" width="12.7109375" style="6" customWidth="1"/>
    <col min="7154" max="7375" width="8.85546875" style="6"/>
    <col min="7376" max="7376" width="37.42578125" style="6" customWidth="1"/>
    <col min="7377" max="7379" width="0" style="6" hidden="1" customWidth="1"/>
    <col min="7380" max="7380" width="15.42578125" style="6" bestFit="1" customWidth="1"/>
    <col min="7381" max="7381" width="16.140625" style="6" customWidth="1"/>
    <col min="7382" max="7382" width="14.42578125" style="6" customWidth="1"/>
    <col min="7383" max="7383" width="13" style="6" customWidth="1"/>
    <col min="7384" max="7409" width="12.7109375" style="6" customWidth="1"/>
    <col min="7410" max="7631" width="8.85546875" style="6"/>
    <col min="7632" max="7632" width="37.42578125" style="6" customWidth="1"/>
    <col min="7633" max="7635" width="0" style="6" hidden="1" customWidth="1"/>
    <col min="7636" max="7636" width="15.42578125" style="6" bestFit="1" customWidth="1"/>
    <col min="7637" max="7637" width="16.140625" style="6" customWidth="1"/>
    <col min="7638" max="7638" width="14.42578125" style="6" customWidth="1"/>
    <col min="7639" max="7639" width="13" style="6" customWidth="1"/>
    <col min="7640" max="7665" width="12.7109375" style="6" customWidth="1"/>
    <col min="7666" max="7887" width="8.85546875" style="6"/>
    <col min="7888" max="7888" width="37.42578125" style="6" customWidth="1"/>
    <col min="7889" max="7891" width="0" style="6" hidden="1" customWidth="1"/>
    <col min="7892" max="7892" width="15.42578125" style="6" bestFit="1" customWidth="1"/>
    <col min="7893" max="7893" width="16.140625" style="6" customWidth="1"/>
    <col min="7894" max="7894" width="14.42578125" style="6" customWidth="1"/>
    <col min="7895" max="7895" width="13" style="6" customWidth="1"/>
    <col min="7896" max="7921" width="12.7109375" style="6" customWidth="1"/>
    <col min="7922" max="8143" width="8.85546875" style="6"/>
    <col min="8144" max="8144" width="37.42578125" style="6" customWidth="1"/>
    <col min="8145" max="8147" width="0" style="6" hidden="1" customWidth="1"/>
    <col min="8148" max="8148" width="15.42578125" style="6" bestFit="1" customWidth="1"/>
    <col min="8149" max="8149" width="16.140625" style="6" customWidth="1"/>
    <col min="8150" max="8150" width="14.42578125" style="6" customWidth="1"/>
    <col min="8151" max="8151" width="13" style="6" customWidth="1"/>
    <col min="8152" max="8177" width="12.7109375" style="6" customWidth="1"/>
    <col min="8178" max="8399" width="8.85546875" style="6"/>
    <col min="8400" max="8400" width="37.42578125" style="6" customWidth="1"/>
    <col min="8401" max="8403" width="0" style="6" hidden="1" customWidth="1"/>
    <col min="8404" max="8404" width="15.42578125" style="6" bestFit="1" customWidth="1"/>
    <col min="8405" max="8405" width="16.140625" style="6" customWidth="1"/>
    <col min="8406" max="8406" width="14.42578125" style="6" customWidth="1"/>
    <col min="8407" max="8407" width="13" style="6" customWidth="1"/>
    <col min="8408" max="8433" width="12.7109375" style="6" customWidth="1"/>
    <col min="8434" max="8655" width="8.85546875" style="6"/>
    <col min="8656" max="8656" width="37.42578125" style="6" customWidth="1"/>
    <col min="8657" max="8659" width="0" style="6" hidden="1" customWidth="1"/>
    <col min="8660" max="8660" width="15.42578125" style="6" bestFit="1" customWidth="1"/>
    <col min="8661" max="8661" width="16.140625" style="6" customWidth="1"/>
    <col min="8662" max="8662" width="14.42578125" style="6" customWidth="1"/>
    <col min="8663" max="8663" width="13" style="6" customWidth="1"/>
    <col min="8664" max="8689" width="12.7109375" style="6" customWidth="1"/>
    <col min="8690" max="8911" width="8.85546875" style="6"/>
    <col min="8912" max="8912" width="37.42578125" style="6" customWidth="1"/>
    <col min="8913" max="8915" width="0" style="6" hidden="1" customWidth="1"/>
    <col min="8916" max="8916" width="15.42578125" style="6" bestFit="1" customWidth="1"/>
    <col min="8917" max="8917" width="16.140625" style="6" customWidth="1"/>
    <col min="8918" max="8918" width="14.42578125" style="6" customWidth="1"/>
    <col min="8919" max="8919" width="13" style="6" customWidth="1"/>
    <col min="8920" max="8945" width="12.7109375" style="6" customWidth="1"/>
    <col min="8946" max="9167" width="8.85546875" style="6"/>
    <col min="9168" max="9168" width="37.42578125" style="6" customWidth="1"/>
    <col min="9169" max="9171" width="0" style="6" hidden="1" customWidth="1"/>
    <col min="9172" max="9172" width="15.42578125" style="6" bestFit="1" customWidth="1"/>
    <col min="9173" max="9173" width="16.140625" style="6" customWidth="1"/>
    <col min="9174" max="9174" width="14.42578125" style="6" customWidth="1"/>
    <col min="9175" max="9175" width="13" style="6" customWidth="1"/>
    <col min="9176" max="9201" width="12.7109375" style="6" customWidth="1"/>
    <col min="9202" max="9423" width="8.85546875" style="6"/>
    <col min="9424" max="9424" width="37.42578125" style="6" customWidth="1"/>
    <col min="9425" max="9427" width="0" style="6" hidden="1" customWidth="1"/>
    <col min="9428" max="9428" width="15.42578125" style="6" bestFit="1" customWidth="1"/>
    <col min="9429" max="9429" width="16.140625" style="6" customWidth="1"/>
    <col min="9430" max="9430" width="14.42578125" style="6" customWidth="1"/>
    <col min="9431" max="9431" width="13" style="6" customWidth="1"/>
    <col min="9432" max="9457" width="12.7109375" style="6" customWidth="1"/>
    <col min="9458" max="9679" width="8.85546875" style="6"/>
    <col min="9680" max="9680" width="37.42578125" style="6" customWidth="1"/>
    <col min="9681" max="9683" width="0" style="6" hidden="1" customWidth="1"/>
    <col min="9684" max="9684" width="15.42578125" style="6" bestFit="1" customWidth="1"/>
    <col min="9685" max="9685" width="16.140625" style="6" customWidth="1"/>
    <col min="9686" max="9686" width="14.42578125" style="6" customWidth="1"/>
    <col min="9687" max="9687" width="13" style="6" customWidth="1"/>
    <col min="9688" max="9713" width="12.7109375" style="6" customWidth="1"/>
    <col min="9714" max="9935" width="8.85546875" style="6"/>
    <col min="9936" max="9936" width="37.42578125" style="6" customWidth="1"/>
    <col min="9937" max="9939" width="0" style="6" hidden="1" customWidth="1"/>
    <col min="9940" max="9940" width="15.42578125" style="6" bestFit="1" customWidth="1"/>
    <col min="9941" max="9941" width="16.140625" style="6" customWidth="1"/>
    <col min="9942" max="9942" width="14.42578125" style="6" customWidth="1"/>
    <col min="9943" max="9943" width="13" style="6" customWidth="1"/>
    <col min="9944" max="9969" width="12.7109375" style="6" customWidth="1"/>
    <col min="9970" max="10191" width="8.85546875" style="6"/>
    <col min="10192" max="10192" width="37.42578125" style="6" customWidth="1"/>
    <col min="10193" max="10195" width="0" style="6" hidden="1" customWidth="1"/>
    <col min="10196" max="10196" width="15.42578125" style="6" bestFit="1" customWidth="1"/>
    <col min="10197" max="10197" width="16.140625" style="6" customWidth="1"/>
    <col min="10198" max="10198" width="14.42578125" style="6" customWidth="1"/>
    <col min="10199" max="10199" width="13" style="6" customWidth="1"/>
    <col min="10200" max="10225" width="12.7109375" style="6" customWidth="1"/>
    <col min="10226" max="10447" width="8.85546875" style="6"/>
    <col min="10448" max="10448" width="37.42578125" style="6" customWidth="1"/>
    <col min="10449" max="10451" width="0" style="6" hidden="1" customWidth="1"/>
    <col min="10452" max="10452" width="15.42578125" style="6" bestFit="1" customWidth="1"/>
    <col min="10453" max="10453" width="16.140625" style="6" customWidth="1"/>
    <col min="10454" max="10454" width="14.42578125" style="6" customWidth="1"/>
    <col min="10455" max="10455" width="13" style="6" customWidth="1"/>
    <col min="10456" max="10481" width="12.7109375" style="6" customWidth="1"/>
    <col min="10482" max="10703" width="8.85546875" style="6"/>
    <col min="10704" max="10704" width="37.42578125" style="6" customWidth="1"/>
    <col min="10705" max="10707" width="0" style="6" hidden="1" customWidth="1"/>
    <col min="10708" max="10708" width="15.42578125" style="6" bestFit="1" customWidth="1"/>
    <col min="10709" max="10709" width="16.140625" style="6" customWidth="1"/>
    <col min="10710" max="10710" width="14.42578125" style="6" customWidth="1"/>
    <col min="10711" max="10711" width="13" style="6" customWidth="1"/>
    <col min="10712" max="10737" width="12.7109375" style="6" customWidth="1"/>
    <col min="10738" max="10959" width="8.85546875" style="6"/>
    <col min="10960" max="10960" width="37.42578125" style="6" customWidth="1"/>
    <col min="10961" max="10963" width="0" style="6" hidden="1" customWidth="1"/>
    <col min="10964" max="10964" width="15.42578125" style="6" bestFit="1" customWidth="1"/>
    <col min="10965" max="10965" width="16.140625" style="6" customWidth="1"/>
    <col min="10966" max="10966" width="14.42578125" style="6" customWidth="1"/>
    <col min="10967" max="10967" width="13" style="6" customWidth="1"/>
    <col min="10968" max="10993" width="12.7109375" style="6" customWidth="1"/>
    <col min="10994" max="11215" width="8.85546875" style="6"/>
    <col min="11216" max="11216" width="37.42578125" style="6" customWidth="1"/>
    <col min="11217" max="11219" width="0" style="6" hidden="1" customWidth="1"/>
    <col min="11220" max="11220" width="15.42578125" style="6" bestFit="1" customWidth="1"/>
    <col min="11221" max="11221" width="16.140625" style="6" customWidth="1"/>
    <col min="11222" max="11222" width="14.42578125" style="6" customWidth="1"/>
    <col min="11223" max="11223" width="13" style="6" customWidth="1"/>
    <col min="11224" max="11249" width="12.7109375" style="6" customWidth="1"/>
    <col min="11250" max="11471" width="8.85546875" style="6"/>
    <col min="11472" max="11472" width="37.42578125" style="6" customWidth="1"/>
    <col min="11473" max="11475" width="0" style="6" hidden="1" customWidth="1"/>
    <col min="11476" max="11476" width="15.42578125" style="6" bestFit="1" customWidth="1"/>
    <col min="11477" max="11477" width="16.140625" style="6" customWidth="1"/>
    <col min="11478" max="11478" width="14.42578125" style="6" customWidth="1"/>
    <col min="11479" max="11479" width="13" style="6" customWidth="1"/>
    <col min="11480" max="11505" width="12.7109375" style="6" customWidth="1"/>
    <col min="11506" max="11727" width="8.85546875" style="6"/>
    <col min="11728" max="11728" width="37.42578125" style="6" customWidth="1"/>
    <col min="11729" max="11731" width="0" style="6" hidden="1" customWidth="1"/>
    <col min="11732" max="11732" width="15.42578125" style="6" bestFit="1" customWidth="1"/>
    <col min="11733" max="11733" width="16.140625" style="6" customWidth="1"/>
    <col min="11734" max="11734" width="14.42578125" style="6" customWidth="1"/>
    <col min="11735" max="11735" width="13" style="6" customWidth="1"/>
    <col min="11736" max="11761" width="12.7109375" style="6" customWidth="1"/>
    <col min="11762" max="11983" width="8.85546875" style="6"/>
    <col min="11984" max="11984" width="37.42578125" style="6" customWidth="1"/>
    <col min="11985" max="11987" width="0" style="6" hidden="1" customWidth="1"/>
    <col min="11988" max="11988" width="15.42578125" style="6" bestFit="1" customWidth="1"/>
    <col min="11989" max="11989" width="16.140625" style="6" customWidth="1"/>
    <col min="11990" max="11990" width="14.42578125" style="6" customWidth="1"/>
    <col min="11991" max="11991" width="13" style="6" customWidth="1"/>
    <col min="11992" max="12017" width="12.7109375" style="6" customWidth="1"/>
    <col min="12018" max="12239" width="8.85546875" style="6"/>
    <col min="12240" max="12240" width="37.42578125" style="6" customWidth="1"/>
    <col min="12241" max="12243" width="0" style="6" hidden="1" customWidth="1"/>
    <col min="12244" max="12244" width="15.42578125" style="6" bestFit="1" customWidth="1"/>
    <col min="12245" max="12245" width="16.140625" style="6" customWidth="1"/>
    <col min="12246" max="12246" width="14.42578125" style="6" customWidth="1"/>
    <col min="12247" max="12247" width="13" style="6" customWidth="1"/>
    <col min="12248" max="12273" width="12.7109375" style="6" customWidth="1"/>
    <col min="12274" max="12495" width="8.85546875" style="6"/>
    <col min="12496" max="12496" width="37.42578125" style="6" customWidth="1"/>
    <col min="12497" max="12499" width="0" style="6" hidden="1" customWidth="1"/>
    <col min="12500" max="12500" width="15.42578125" style="6" bestFit="1" customWidth="1"/>
    <col min="12501" max="12501" width="16.140625" style="6" customWidth="1"/>
    <col min="12502" max="12502" width="14.42578125" style="6" customWidth="1"/>
    <col min="12503" max="12503" width="13" style="6" customWidth="1"/>
    <col min="12504" max="12529" width="12.7109375" style="6" customWidth="1"/>
    <col min="12530" max="12751" width="8.85546875" style="6"/>
    <col min="12752" max="12752" width="37.42578125" style="6" customWidth="1"/>
    <col min="12753" max="12755" width="0" style="6" hidden="1" customWidth="1"/>
    <col min="12756" max="12756" width="15.42578125" style="6" bestFit="1" customWidth="1"/>
    <col min="12757" max="12757" width="16.140625" style="6" customWidth="1"/>
    <col min="12758" max="12758" width="14.42578125" style="6" customWidth="1"/>
    <col min="12759" max="12759" width="13" style="6" customWidth="1"/>
    <col min="12760" max="12785" width="12.7109375" style="6" customWidth="1"/>
    <col min="12786" max="13007" width="8.85546875" style="6"/>
    <col min="13008" max="13008" width="37.42578125" style="6" customWidth="1"/>
    <col min="13009" max="13011" width="0" style="6" hidden="1" customWidth="1"/>
    <col min="13012" max="13012" width="15.42578125" style="6" bestFit="1" customWidth="1"/>
    <col min="13013" max="13013" width="16.140625" style="6" customWidth="1"/>
    <col min="13014" max="13014" width="14.42578125" style="6" customWidth="1"/>
    <col min="13015" max="13015" width="13" style="6" customWidth="1"/>
    <col min="13016" max="13041" width="12.7109375" style="6" customWidth="1"/>
    <col min="13042" max="13263" width="8.85546875" style="6"/>
    <col min="13264" max="13264" width="37.42578125" style="6" customWidth="1"/>
    <col min="13265" max="13267" width="0" style="6" hidden="1" customWidth="1"/>
    <col min="13268" max="13268" width="15.42578125" style="6" bestFit="1" customWidth="1"/>
    <col min="13269" max="13269" width="16.140625" style="6" customWidth="1"/>
    <col min="13270" max="13270" width="14.42578125" style="6" customWidth="1"/>
    <col min="13271" max="13271" width="13" style="6" customWidth="1"/>
    <col min="13272" max="13297" width="12.7109375" style="6" customWidth="1"/>
    <col min="13298" max="13519" width="8.85546875" style="6"/>
    <col min="13520" max="13520" width="37.42578125" style="6" customWidth="1"/>
    <col min="13521" max="13523" width="0" style="6" hidden="1" customWidth="1"/>
    <col min="13524" max="13524" width="15.42578125" style="6" bestFit="1" customWidth="1"/>
    <col min="13525" max="13525" width="16.140625" style="6" customWidth="1"/>
    <col min="13526" max="13526" width="14.42578125" style="6" customWidth="1"/>
    <col min="13527" max="13527" width="13" style="6" customWidth="1"/>
    <col min="13528" max="13553" width="12.7109375" style="6" customWidth="1"/>
    <col min="13554" max="13775" width="8.85546875" style="6"/>
    <col min="13776" max="13776" width="37.42578125" style="6" customWidth="1"/>
    <col min="13777" max="13779" width="0" style="6" hidden="1" customWidth="1"/>
    <col min="13780" max="13780" width="15.42578125" style="6" bestFit="1" customWidth="1"/>
    <col min="13781" max="13781" width="16.140625" style="6" customWidth="1"/>
    <col min="13782" max="13782" width="14.42578125" style="6" customWidth="1"/>
    <col min="13783" max="13783" width="13" style="6" customWidth="1"/>
    <col min="13784" max="13809" width="12.7109375" style="6" customWidth="1"/>
    <col min="13810" max="14031" width="8.85546875" style="6"/>
    <col min="14032" max="14032" width="37.42578125" style="6" customWidth="1"/>
    <col min="14033" max="14035" width="0" style="6" hidden="1" customWidth="1"/>
    <col min="14036" max="14036" width="15.42578125" style="6" bestFit="1" customWidth="1"/>
    <col min="14037" max="14037" width="16.140625" style="6" customWidth="1"/>
    <col min="14038" max="14038" width="14.42578125" style="6" customWidth="1"/>
    <col min="14039" max="14039" width="13" style="6" customWidth="1"/>
    <col min="14040" max="14065" width="12.7109375" style="6" customWidth="1"/>
    <col min="14066" max="14287" width="8.85546875" style="6"/>
    <col min="14288" max="14288" width="37.42578125" style="6" customWidth="1"/>
    <col min="14289" max="14291" width="0" style="6" hidden="1" customWidth="1"/>
    <col min="14292" max="14292" width="15.42578125" style="6" bestFit="1" customWidth="1"/>
    <col min="14293" max="14293" width="16.140625" style="6" customWidth="1"/>
    <col min="14294" max="14294" width="14.42578125" style="6" customWidth="1"/>
    <col min="14295" max="14295" width="13" style="6" customWidth="1"/>
    <col min="14296" max="14321" width="12.7109375" style="6" customWidth="1"/>
    <col min="14322" max="14543" width="8.85546875" style="6"/>
    <col min="14544" max="14544" width="37.42578125" style="6" customWidth="1"/>
    <col min="14545" max="14547" width="0" style="6" hidden="1" customWidth="1"/>
    <col min="14548" max="14548" width="15.42578125" style="6" bestFit="1" customWidth="1"/>
    <col min="14549" max="14549" width="16.140625" style="6" customWidth="1"/>
    <col min="14550" max="14550" width="14.42578125" style="6" customWidth="1"/>
    <col min="14551" max="14551" width="13" style="6" customWidth="1"/>
    <col min="14552" max="14577" width="12.7109375" style="6" customWidth="1"/>
    <col min="14578" max="14799" width="8.85546875" style="6"/>
    <col min="14800" max="14800" width="37.42578125" style="6" customWidth="1"/>
    <col min="14801" max="14803" width="0" style="6" hidden="1" customWidth="1"/>
    <col min="14804" max="14804" width="15.42578125" style="6" bestFit="1" customWidth="1"/>
    <col min="14805" max="14805" width="16.140625" style="6" customWidth="1"/>
    <col min="14806" max="14806" width="14.42578125" style="6" customWidth="1"/>
    <col min="14807" max="14807" width="13" style="6" customWidth="1"/>
    <col min="14808" max="14833" width="12.7109375" style="6" customWidth="1"/>
    <col min="14834" max="15055" width="8.85546875" style="6"/>
    <col min="15056" max="15056" width="37.42578125" style="6" customWidth="1"/>
    <col min="15057" max="15059" width="0" style="6" hidden="1" customWidth="1"/>
    <col min="15060" max="15060" width="15.42578125" style="6" bestFit="1" customWidth="1"/>
    <col min="15061" max="15061" width="16.140625" style="6" customWidth="1"/>
    <col min="15062" max="15062" width="14.42578125" style="6" customWidth="1"/>
    <col min="15063" max="15063" width="13" style="6" customWidth="1"/>
    <col min="15064" max="15089" width="12.7109375" style="6" customWidth="1"/>
    <col min="15090" max="15311" width="8.85546875" style="6"/>
    <col min="15312" max="15312" width="37.42578125" style="6" customWidth="1"/>
    <col min="15313" max="15315" width="0" style="6" hidden="1" customWidth="1"/>
    <col min="15316" max="15316" width="15.42578125" style="6" bestFit="1" customWidth="1"/>
    <col min="15317" max="15317" width="16.140625" style="6" customWidth="1"/>
    <col min="15318" max="15318" width="14.42578125" style="6" customWidth="1"/>
    <col min="15319" max="15319" width="13" style="6" customWidth="1"/>
    <col min="15320" max="15345" width="12.7109375" style="6" customWidth="1"/>
    <col min="15346" max="15567" width="8.85546875" style="6"/>
    <col min="15568" max="15568" width="37.42578125" style="6" customWidth="1"/>
    <col min="15569" max="15571" width="0" style="6" hidden="1" customWidth="1"/>
    <col min="15572" max="15572" width="15.42578125" style="6" bestFit="1" customWidth="1"/>
    <col min="15573" max="15573" width="16.140625" style="6" customWidth="1"/>
    <col min="15574" max="15574" width="14.42578125" style="6" customWidth="1"/>
    <col min="15575" max="15575" width="13" style="6" customWidth="1"/>
    <col min="15576" max="15601" width="12.7109375" style="6" customWidth="1"/>
    <col min="15602" max="15823" width="8.85546875" style="6"/>
    <col min="15824" max="15824" width="37.42578125" style="6" customWidth="1"/>
    <col min="15825" max="15827" width="0" style="6" hidden="1" customWidth="1"/>
    <col min="15828" max="15828" width="15.42578125" style="6" bestFit="1" customWidth="1"/>
    <col min="15829" max="15829" width="16.140625" style="6" customWidth="1"/>
    <col min="15830" max="15830" width="14.42578125" style="6" customWidth="1"/>
    <col min="15831" max="15831" width="13" style="6" customWidth="1"/>
    <col min="15832" max="15857" width="12.7109375" style="6" customWidth="1"/>
    <col min="15858" max="16079" width="8.85546875" style="6"/>
    <col min="16080" max="16080" width="37.42578125" style="6" customWidth="1"/>
    <col min="16081" max="16083" width="0" style="6" hidden="1" customWidth="1"/>
    <col min="16084" max="16084" width="15.42578125" style="6" bestFit="1" customWidth="1"/>
    <col min="16085" max="16085" width="16.140625" style="6" customWidth="1"/>
    <col min="16086" max="16086" width="14.42578125" style="6" customWidth="1"/>
    <col min="16087" max="16087" width="13" style="6" customWidth="1"/>
    <col min="16088" max="16113" width="12.7109375" style="6" customWidth="1"/>
    <col min="16114" max="16384" width="8.85546875" style="6"/>
  </cols>
  <sheetData>
    <row r="2" spans="2:5" ht="14.25" x14ac:dyDescent="0.2">
      <c r="B2" s="2" t="s">
        <v>13</v>
      </c>
    </row>
    <row r="3" spans="2:5" ht="14.25" x14ac:dyDescent="0.2">
      <c r="B3" s="76" t="s">
        <v>191</v>
      </c>
    </row>
    <row r="4" spans="2:5" ht="15" customHeight="1" x14ac:dyDescent="0.2">
      <c r="B4" s="544" t="s">
        <v>197</v>
      </c>
      <c r="C4" s="544"/>
      <c r="D4" s="544"/>
      <c r="E4" s="544"/>
    </row>
    <row r="5" spans="2:5" ht="5.0999999999999996" customHeight="1" thickBot="1" x14ac:dyDescent="0.25"/>
    <row r="6" spans="2:5" s="7" customFormat="1" ht="39.950000000000003" customHeight="1" thickBot="1" x14ac:dyDescent="0.25">
      <c r="B6" s="54" t="s">
        <v>15</v>
      </c>
      <c r="C6" s="55" t="s">
        <v>37</v>
      </c>
      <c r="D6" s="205" t="s">
        <v>87</v>
      </c>
      <c r="E6" s="4"/>
    </row>
    <row r="7" spans="2:5" s="7" customFormat="1" ht="12.75" customHeight="1" x14ac:dyDescent="0.2">
      <c r="B7" s="78">
        <v>2014</v>
      </c>
      <c r="C7" s="79">
        <v>0</v>
      </c>
      <c r="D7" s="206">
        <v>0</v>
      </c>
      <c r="E7" s="4"/>
    </row>
    <row r="8" spans="2:5" ht="12.75" customHeight="1" x14ac:dyDescent="0.2">
      <c r="B8" s="43">
        <v>2015</v>
      </c>
      <c r="C8" s="44">
        <v>1</v>
      </c>
      <c r="D8" s="206">
        <v>0</v>
      </c>
      <c r="E8" s="74"/>
    </row>
    <row r="9" spans="2:5" ht="12.75" customHeight="1" x14ac:dyDescent="0.2">
      <c r="B9" s="43">
        <v>2016</v>
      </c>
      <c r="C9" s="44">
        <v>2</v>
      </c>
      <c r="D9" s="206">
        <v>0</v>
      </c>
      <c r="E9" s="4"/>
    </row>
    <row r="10" spans="2:5" x14ac:dyDescent="0.2">
      <c r="B10" s="43">
        <v>2017</v>
      </c>
      <c r="C10" s="44">
        <v>3</v>
      </c>
      <c r="D10" s="206">
        <v>0</v>
      </c>
      <c r="E10" s="4"/>
    </row>
    <row r="11" spans="2:5" ht="12.75" customHeight="1" x14ac:dyDescent="0.2">
      <c r="B11" s="43">
        <v>2018</v>
      </c>
      <c r="C11" s="44">
        <v>4</v>
      </c>
      <c r="D11" s="206">
        <f>-'Maintenance and Repair Costs'!D8</f>
        <v>-81153</v>
      </c>
      <c r="E11" s="4"/>
    </row>
    <row r="12" spans="2:5" ht="12.75" customHeight="1" x14ac:dyDescent="0.2">
      <c r="B12" s="43">
        <v>2019</v>
      </c>
      <c r="C12" s="44">
        <v>5</v>
      </c>
      <c r="D12" s="206">
        <v>0</v>
      </c>
      <c r="E12" s="4"/>
    </row>
    <row r="13" spans="2:5" ht="12.75" customHeight="1" x14ac:dyDescent="0.2">
      <c r="B13" s="43">
        <v>2020</v>
      </c>
      <c r="C13" s="44">
        <v>6</v>
      </c>
      <c r="D13" s="206">
        <v>0</v>
      </c>
      <c r="E13" s="4"/>
    </row>
    <row r="14" spans="2:5" ht="12.75" customHeight="1" x14ac:dyDescent="0.2">
      <c r="B14" s="43">
        <v>2021</v>
      </c>
      <c r="C14" s="44">
        <v>7</v>
      </c>
      <c r="D14" s="206">
        <f>-'Maintenance and Repair Costs'!D8</f>
        <v>-81153</v>
      </c>
      <c r="E14" s="4"/>
    </row>
    <row r="15" spans="2:5" ht="12.75" customHeight="1" x14ac:dyDescent="0.2">
      <c r="B15" s="43">
        <v>2022</v>
      </c>
      <c r="C15" s="44">
        <v>8</v>
      </c>
      <c r="D15" s="206">
        <v>0</v>
      </c>
      <c r="E15" s="4"/>
    </row>
    <row r="16" spans="2:5" s="5" customFormat="1" ht="12.75" customHeight="1" x14ac:dyDescent="0.2">
      <c r="B16" s="43">
        <v>2023</v>
      </c>
      <c r="C16" s="44">
        <v>9</v>
      </c>
      <c r="D16" s="206">
        <v>0</v>
      </c>
      <c r="E16" s="4"/>
    </row>
    <row r="17" spans="2:5" ht="12.75" customHeight="1" x14ac:dyDescent="0.2">
      <c r="B17" s="43">
        <v>2024</v>
      </c>
      <c r="C17" s="44">
        <v>10</v>
      </c>
      <c r="D17" s="206">
        <f>-'Maintenance and Repair Costs'!D8</f>
        <v>-81153</v>
      </c>
      <c r="E17" s="4"/>
    </row>
    <row r="18" spans="2:5" ht="12.75" customHeight="1" x14ac:dyDescent="0.2">
      <c r="B18" s="43">
        <v>2025</v>
      </c>
      <c r="C18" s="44">
        <v>11</v>
      </c>
      <c r="D18" s="206">
        <v>0</v>
      </c>
      <c r="E18" s="4"/>
    </row>
    <row r="19" spans="2:5" ht="12.75" customHeight="1" x14ac:dyDescent="0.2">
      <c r="B19" s="43">
        <v>2026</v>
      </c>
      <c r="C19" s="44">
        <v>12</v>
      </c>
      <c r="D19" s="206">
        <v>0</v>
      </c>
      <c r="E19" s="4"/>
    </row>
    <row r="20" spans="2:5" ht="12.75" customHeight="1" x14ac:dyDescent="0.2">
      <c r="B20" s="43">
        <v>2027</v>
      </c>
      <c r="C20" s="44">
        <v>13</v>
      </c>
      <c r="D20" s="206">
        <f>-'Maintenance and Repair Costs'!D8</f>
        <v>-81153</v>
      </c>
      <c r="E20" s="4"/>
    </row>
    <row r="21" spans="2:5" ht="12.75" customHeight="1" x14ac:dyDescent="0.2">
      <c r="B21" s="43">
        <v>2028</v>
      </c>
      <c r="C21" s="44">
        <v>14</v>
      </c>
      <c r="D21" s="206">
        <v>0</v>
      </c>
      <c r="E21" s="4"/>
    </row>
    <row r="22" spans="2:5" ht="12.75" customHeight="1" x14ac:dyDescent="0.2">
      <c r="B22" s="43">
        <v>2029</v>
      </c>
      <c r="C22" s="44">
        <v>15</v>
      </c>
      <c r="D22" s="206">
        <v>0</v>
      </c>
      <c r="E22" s="4"/>
    </row>
    <row r="23" spans="2:5" ht="12.75" customHeight="1" x14ac:dyDescent="0.2">
      <c r="B23" s="43">
        <v>2030</v>
      </c>
      <c r="C23" s="44">
        <v>16</v>
      </c>
      <c r="D23" s="206">
        <f>-'Maintenance and Repair Costs'!D7</f>
        <v>-1875505.6470000001</v>
      </c>
      <c r="E23" s="4"/>
    </row>
    <row r="24" spans="2:5" ht="12.75" customHeight="1" x14ac:dyDescent="0.2">
      <c r="B24" s="43">
        <v>2031</v>
      </c>
      <c r="C24" s="44">
        <v>17</v>
      </c>
      <c r="D24" s="206">
        <v>0</v>
      </c>
      <c r="E24" s="4"/>
    </row>
    <row r="25" spans="2:5" ht="12.75" customHeight="1" x14ac:dyDescent="0.2">
      <c r="B25" s="43">
        <v>2032</v>
      </c>
      <c r="C25" s="44">
        <v>18</v>
      </c>
      <c r="D25" s="206">
        <v>0</v>
      </c>
      <c r="E25" s="4"/>
    </row>
    <row r="26" spans="2:5" ht="12.75" customHeight="1" x14ac:dyDescent="0.2">
      <c r="B26" s="43">
        <v>2033</v>
      </c>
      <c r="C26" s="44">
        <v>19</v>
      </c>
      <c r="D26" s="206">
        <f>-'Maintenance and Repair Costs'!D8</f>
        <v>-81153</v>
      </c>
      <c r="E26" s="4"/>
    </row>
    <row r="27" spans="2:5" ht="12.75" customHeight="1" x14ac:dyDescent="0.2">
      <c r="B27" s="43">
        <v>2034</v>
      </c>
      <c r="C27" s="44">
        <v>20</v>
      </c>
      <c r="D27" s="206">
        <v>0</v>
      </c>
      <c r="E27" s="4"/>
    </row>
    <row r="28" spans="2:5" ht="12.75" customHeight="1" x14ac:dyDescent="0.2">
      <c r="B28" s="43">
        <v>2035</v>
      </c>
      <c r="C28" s="44">
        <v>21</v>
      </c>
      <c r="D28" s="206">
        <v>0</v>
      </c>
      <c r="E28" s="4"/>
    </row>
    <row r="29" spans="2:5" ht="12.75" customHeight="1" x14ac:dyDescent="0.2">
      <c r="B29" s="43">
        <v>2036</v>
      </c>
      <c r="C29" s="44">
        <v>22</v>
      </c>
      <c r="D29" s="206">
        <f>-'Maintenance and Repair Costs'!D8</f>
        <v>-81153</v>
      </c>
      <c r="E29" s="4"/>
    </row>
    <row r="30" spans="2:5" ht="12.75" customHeight="1" x14ac:dyDescent="0.2">
      <c r="B30" s="43">
        <v>2037</v>
      </c>
      <c r="C30" s="44">
        <v>23</v>
      </c>
      <c r="D30" s="206">
        <v>0</v>
      </c>
      <c r="E30" s="4"/>
    </row>
    <row r="31" spans="2:5" ht="12.75" customHeight="1" x14ac:dyDescent="0.2">
      <c r="B31" s="43">
        <v>2038</v>
      </c>
      <c r="C31" s="44">
        <v>24</v>
      </c>
      <c r="D31" s="206">
        <v>0</v>
      </c>
      <c r="E31" s="4"/>
    </row>
    <row r="32" spans="2:5" ht="12.75" customHeight="1" x14ac:dyDescent="0.2">
      <c r="B32" s="43">
        <v>2039</v>
      </c>
      <c r="C32" s="44">
        <v>25</v>
      </c>
      <c r="D32" s="206">
        <f>-'Maintenance and Repair Costs'!D8</f>
        <v>-81153</v>
      </c>
      <c r="E32" s="4"/>
    </row>
    <row r="33" spans="2:5" ht="12.75" customHeight="1" x14ac:dyDescent="0.2">
      <c r="B33" s="43">
        <v>2040</v>
      </c>
      <c r="C33" s="44">
        <v>26</v>
      </c>
      <c r="D33" s="206">
        <v>0</v>
      </c>
      <c r="E33" s="4"/>
    </row>
    <row r="34" spans="2:5" ht="12.75" customHeight="1" x14ac:dyDescent="0.2">
      <c r="B34" s="43">
        <v>2041</v>
      </c>
      <c r="C34" s="44">
        <v>27</v>
      </c>
      <c r="D34" s="206">
        <v>0</v>
      </c>
      <c r="E34" s="4"/>
    </row>
    <row r="35" spans="2:5" ht="12.75" customHeight="1" x14ac:dyDescent="0.2">
      <c r="B35" s="43">
        <v>2042</v>
      </c>
      <c r="C35" s="44">
        <v>28</v>
      </c>
      <c r="D35" s="206">
        <f>-'Maintenance and Repair Costs'!D8</f>
        <v>-81153</v>
      </c>
      <c r="E35" s="4"/>
    </row>
    <row r="36" spans="2:5" ht="12.75" customHeight="1" x14ac:dyDescent="0.2">
      <c r="B36" s="43">
        <v>2043</v>
      </c>
      <c r="C36" s="44">
        <v>29</v>
      </c>
      <c r="D36" s="206">
        <v>0</v>
      </c>
      <c r="E36" s="4"/>
    </row>
    <row r="37" spans="2:5" ht="12.75" customHeight="1" x14ac:dyDescent="0.2">
      <c r="B37" s="43">
        <v>2044</v>
      </c>
      <c r="C37" s="44">
        <v>30</v>
      </c>
      <c r="D37" s="206">
        <v>0</v>
      </c>
      <c r="E37" s="4"/>
    </row>
    <row r="38" spans="2:5" ht="12.75" customHeight="1" x14ac:dyDescent="0.2">
      <c r="B38" s="45">
        <v>2045</v>
      </c>
      <c r="C38" s="46">
        <v>31</v>
      </c>
      <c r="D38" s="203">
        <f>-'Maintenance and Repair Costs'!D7</f>
        <v>-1875505.6470000001</v>
      </c>
      <c r="E38" s="4"/>
    </row>
    <row r="39" spans="2:5" ht="12.75" customHeight="1" x14ac:dyDescent="0.2">
      <c r="B39" s="72" t="s">
        <v>6</v>
      </c>
      <c r="C39" s="53" t="str">
        <f>"0-31"</f>
        <v>0-31</v>
      </c>
      <c r="D39" s="210">
        <f>SUM(D7:D38)</f>
        <v>-4400235.2939999998</v>
      </c>
      <c r="E39" s="40"/>
    </row>
    <row r="40" spans="2:5" ht="5.0999999999999996" customHeight="1" x14ac:dyDescent="0.2">
      <c r="B40" s="48"/>
      <c r="C40" s="49"/>
      <c r="D40" s="210"/>
    </row>
    <row r="41" spans="2:5" ht="27.95" customHeight="1" x14ac:dyDescent="0.2">
      <c r="B41" s="542" t="s">
        <v>58</v>
      </c>
      <c r="C41" s="543"/>
      <c r="D41" s="210">
        <f>NPV(0.03,D8:D38)+D7</f>
        <v>-2335528.9439679855</v>
      </c>
    </row>
    <row r="42" spans="2:5" ht="27.95" customHeight="1" x14ac:dyDescent="0.2">
      <c r="B42" s="542" t="s">
        <v>59</v>
      </c>
      <c r="C42" s="543"/>
      <c r="D42" s="210">
        <f>NPV(0.07,D8:D38)+D7</f>
        <v>-1120853.7887235612</v>
      </c>
    </row>
    <row r="43" spans="2:5" ht="5.0999999999999996" customHeight="1" thickBot="1" x14ac:dyDescent="0.25">
      <c r="B43" s="50"/>
      <c r="C43" s="52"/>
      <c r="D43" s="207"/>
    </row>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4:4" ht="12.75" customHeight="1" x14ac:dyDescent="0.2"/>
    <row r="50" spans="4:4" s="5" customFormat="1" ht="12.75" customHeight="1" x14ac:dyDescent="0.2"/>
    <row r="51" spans="4:4" s="5" customFormat="1" ht="12.75" customHeight="1" x14ac:dyDescent="0.2"/>
    <row r="52" spans="4:4" s="5" customFormat="1" ht="12.75" customHeight="1" x14ac:dyDescent="0.2"/>
    <row r="53" spans="4:4" s="5" customFormat="1" ht="12.75" customHeight="1" x14ac:dyDescent="0.2"/>
    <row r="54" spans="4:4" s="5" customFormat="1" ht="12.75" customHeight="1" x14ac:dyDescent="0.2"/>
    <row r="55" spans="4:4" s="5" customFormat="1" ht="12.75" customHeight="1" x14ac:dyDescent="0.2"/>
    <row r="56" spans="4:4" s="5" customFormat="1" ht="12.75" customHeight="1" x14ac:dyDescent="0.2"/>
    <row r="57" spans="4:4" s="5" customFormat="1" ht="12.75" customHeight="1" x14ac:dyDescent="0.2"/>
    <row r="58" spans="4:4" s="5" customFormat="1" ht="12.75" customHeight="1" x14ac:dyDescent="0.2"/>
    <row r="59" spans="4:4" s="5" customFormat="1" ht="12.75" customHeight="1" x14ac:dyDescent="0.2"/>
    <row r="60" spans="4:4" s="5" customFormat="1" ht="12.75" customHeight="1" x14ac:dyDescent="0.2"/>
    <row r="61" spans="4:4" s="8" customFormat="1" ht="12.75" customHeight="1" x14ac:dyDescent="0.2">
      <c r="D61" s="5"/>
    </row>
    <row r="62" spans="4:4" s="8" customFormat="1" ht="12.75" customHeight="1" x14ac:dyDescent="0.2">
      <c r="D62" s="5"/>
    </row>
    <row r="63" spans="4:4" s="8" customFormat="1" ht="12.75" customHeight="1" x14ac:dyDescent="0.2">
      <c r="D63" s="5"/>
    </row>
    <row r="64" spans="4:4" s="5" customFormat="1" x14ac:dyDescent="0.2"/>
    <row r="73" ht="26.25" customHeight="1" x14ac:dyDescent="0.2"/>
  </sheetData>
  <mergeCells count="3">
    <mergeCell ref="B41:C41"/>
    <mergeCell ref="B42:C42"/>
    <mergeCell ref="B4:E4"/>
  </mergeCells>
  <pageMargins left="0.25" right="0.25" top="0.75" bottom="0.75" header="0.3" footer="0.3"/>
  <pageSetup firstPageNumber="15"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G73"/>
  <sheetViews>
    <sheetView showGridLines="0" view="pageBreakPreview" zoomScaleSheetLayoutView="100" workbookViewId="0"/>
  </sheetViews>
  <sheetFormatPr defaultColWidth="8.85546875" defaultRowHeight="12.75" x14ac:dyDescent="0.2"/>
  <cols>
    <col min="1" max="1" width="8.85546875" style="6"/>
    <col min="2" max="2" width="6.7109375" style="6" customWidth="1"/>
    <col min="3" max="3" width="9.7109375" style="6" customWidth="1"/>
    <col min="4" max="6" width="14.7109375" style="6" customWidth="1"/>
    <col min="7" max="7" width="15.7109375" style="6" customWidth="1"/>
    <col min="8" max="209" width="8.85546875" style="6"/>
    <col min="210" max="210" width="37.42578125" style="6" customWidth="1"/>
    <col min="211" max="213" width="0" style="6" hidden="1" customWidth="1"/>
    <col min="214" max="214" width="15.42578125" style="6" bestFit="1" customWidth="1"/>
    <col min="215" max="215" width="16.140625" style="6" customWidth="1"/>
    <col min="216" max="216" width="14.42578125" style="6" customWidth="1"/>
    <col min="217" max="217" width="13" style="6" customWidth="1"/>
    <col min="218" max="243" width="12.7109375" style="6" customWidth="1"/>
    <col min="244" max="465" width="8.85546875" style="6"/>
    <col min="466" max="466" width="37.42578125" style="6" customWidth="1"/>
    <col min="467" max="469" width="0" style="6" hidden="1" customWidth="1"/>
    <col min="470" max="470" width="15.42578125" style="6" bestFit="1" customWidth="1"/>
    <col min="471" max="471" width="16.140625" style="6" customWidth="1"/>
    <col min="472" max="472" width="14.42578125" style="6" customWidth="1"/>
    <col min="473" max="473" width="13" style="6" customWidth="1"/>
    <col min="474" max="499" width="12.7109375" style="6" customWidth="1"/>
    <col min="500" max="721" width="8.85546875" style="6"/>
    <col min="722" max="722" width="37.42578125" style="6" customWidth="1"/>
    <col min="723" max="725" width="0" style="6" hidden="1" customWidth="1"/>
    <col min="726" max="726" width="15.42578125" style="6" bestFit="1" customWidth="1"/>
    <col min="727" max="727" width="16.140625" style="6" customWidth="1"/>
    <col min="728" max="728" width="14.42578125" style="6" customWidth="1"/>
    <col min="729" max="729" width="13" style="6" customWidth="1"/>
    <col min="730" max="755" width="12.7109375" style="6" customWidth="1"/>
    <col min="756" max="977" width="8.85546875" style="6"/>
    <col min="978" max="978" width="37.42578125" style="6" customWidth="1"/>
    <col min="979" max="981" width="0" style="6" hidden="1" customWidth="1"/>
    <col min="982" max="982" width="15.42578125" style="6" bestFit="1" customWidth="1"/>
    <col min="983" max="983" width="16.140625" style="6" customWidth="1"/>
    <col min="984" max="984" width="14.42578125" style="6" customWidth="1"/>
    <col min="985" max="985" width="13" style="6" customWidth="1"/>
    <col min="986" max="1011" width="12.7109375" style="6" customWidth="1"/>
    <col min="1012" max="1233" width="8.85546875" style="6"/>
    <col min="1234" max="1234" width="37.42578125" style="6" customWidth="1"/>
    <col min="1235" max="1237" width="0" style="6" hidden="1" customWidth="1"/>
    <col min="1238" max="1238" width="15.42578125" style="6" bestFit="1" customWidth="1"/>
    <col min="1239" max="1239" width="16.140625" style="6" customWidth="1"/>
    <col min="1240" max="1240" width="14.42578125" style="6" customWidth="1"/>
    <col min="1241" max="1241" width="13" style="6" customWidth="1"/>
    <col min="1242" max="1267" width="12.7109375" style="6" customWidth="1"/>
    <col min="1268" max="1489" width="8.85546875" style="6"/>
    <col min="1490" max="1490" width="37.42578125" style="6" customWidth="1"/>
    <col min="1491" max="1493" width="0" style="6" hidden="1" customWidth="1"/>
    <col min="1494" max="1494" width="15.42578125" style="6" bestFit="1" customWidth="1"/>
    <col min="1495" max="1495" width="16.140625" style="6" customWidth="1"/>
    <col min="1496" max="1496" width="14.42578125" style="6" customWidth="1"/>
    <col min="1497" max="1497" width="13" style="6" customWidth="1"/>
    <col min="1498" max="1523" width="12.7109375" style="6" customWidth="1"/>
    <col min="1524" max="1745" width="8.85546875" style="6"/>
    <col min="1746" max="1746" width="37.42578125" style="6" customWidth="1"/>
    <col min="1747" max="1749" width="0" style="6" hidden="1" customWidth="1"/>
    <col min="1750" max="1750" width="15.42578125" style="6" bestFit="1" customWidth="1"/>
    <col min="1751" max="1751" width="16.140625" style="6" customWidth="1"/>
    <col min="1752" max="1752" width="14.42578125" style="6" customWidth="1"/>
    <col min="1753" max="1753" width="13" style="6" customWidth="1"/>
    <col min="1754" max="1779" width="12.7109375" style="6" customWidth="1"/>
    <col min="1780" max="2001" width="8.85546875" style="6"/>
    <col min="2002" max="2002" width="37.42578125" style="6" customWidth="1"/>
    <col min="2003" max="2005" width="0" style="6" hidden="1" customWidth="1"/>
    <col min="2006" max="2006" width="15.42578125" style="6" bestFit="1" customWidth="1"/>
    <col min="2007" max="2007" width="16.140625" style="6" customWidth="1"/>
    <col min="2008" max="2008" width="14.42578125" style="6" customWidth="1"/>
    <col min="2009" max="2009" width="13" style="6" customWidth="1"/>
    <col min="2010" max="2035" width="12.7109375" style="6" customWidth="1"/>
    <col min="2036" max="2257" width="8.85546875" style="6"/>
    <col min="2258" max="2258" width="37.42578125" style="6" customWidth="1"/>
    <col min="2259" max="2261" width="0" style="6" hidden="1" customWidth="1"/>
    <col min="2262" max="2262" width="15.42578125" style="6" bestFit="1" customWidth="1"/>
    <col min="2263" max="2263" width="16.140625" style="6" customWidth="1"/>
    <col min="2264" max="2264" width="14.42578125" style="6" customWidth="1"/>
    <col min="2265" max="2265" width="13" style="6" customWidth="1"/>
    <col min="2266" max="2291" width="12.7109375" style="6" customWidth="1"/>
    <col min="2292" max="2513" width="8.85546875" style="6"/>
    <col min="2514" max="2514" width="37.42578125" style="6" customWidth="1"/>
    <col min="2515" max="2517" width="0" style="6" hidden="1" customWidth="1"/>
    <col min="2518" max="2518" width="15.42578125" style="6" bestFit="1" customWidth="1"/>
    <col min="2519" max="2519" width="16.140625" style="6" customWidth="1"/>
    <col min="2520" max="2520" width="14.42578125" style="6" customWidth="1"/>
    <col min="2521" max="2521" width="13" style="6" customWidth="1"/>
    <col min="2522" max="2547" width="12.7109375" style="6" customWidth="1"/>
    <col min="2548" max="2769" width="8.85546875" style="6"/>
    <col min="2770" max="2770" width="37.42578125" style="6" customWidth="1"/>
    <col min="2771" max="2773" width="0" style="6" hidden="1" customWidth="1"/>
    <col min="2774" max="2774" width="15.42578125" style="6" bestFit="1" customWidth="1"/>
    <col min="2775" max="2775" width="16.140625" style="6" customWidth="1"/>
    <col min="2776" max="2776" width="14.42578125" style="6" customWidth="1"/>
    <col min="2777" max="2777" width="13" style="6" customWidth="1"/>
    <col min="2778" max="2803" width="12.7109375" style="6" customWidth="1"/>
    <col min="2804" max="3025" width="8.85546875" style="6"/>
    <col min="3026" max="3026" width="37.42578125" style="6" customWidth="1"/>
    <col min="3027" max="3029" width="0" style="6" hidden="1" customWidth="1"/>
    <col min="3030" max="3030" width="15.42578125" style="6" bestFit="1" customWidth="1"/>
    <col min="3031" max="3031" width="16.140625" style="6" customWidth="1"/>
    <col min="3032" max="3032" width="14.42578125" style="6" customWidth="1"/>
    <col min="3033" max="3033" width="13" style="6" customWidth="1"/>
    <col min="3034" max="3059" width="12.7109375" style="6" customWidth="1"/>
    <col min="3060" max="3281" width="8.85546875" style="6"/>
    <col min="3282" max="3282" width="37.42578125" style="6" customWidth="1"/>
    <col min="3283" max="3285" width="0" style="6" hidden="1" customWidth="1"/>
    <col min="3286" max="3286" width="15.42578125" style="6" bestFit="1" customWidth="1"/>
    <col min="3287" max="3287" width="16.140625" style="6" customWidth="1"/>
    <col min="3288" max="3288" width="14.42578125" style="6" customWidth="1"/>
    <col min="3289" max="3289" width="13" style="6" customWidth="1"/>
    <col min="3290" max="3315" width="12.7109375" style="6" customWidth="1"/>
    <col min="3316" max="3537" width="8.85546875" style="6"/>
    <col min="3538" max="3538" width="37.42578125" style="6" customWidth="1"/>
    <col min="3539" max="3541" width="0" style="6" hidden="1" customWidth="1"/>
    <col min="3542" max="3542" width="15.42578125" style="6" bestFit="1" customWidth="1"/>
    <col min="3543" max="3543" width="16.140625" style="6" customWidth="1"/>
    <col min="3544" max="3544" width="14.42578125" style="6" customWidth="1"/>
    <col min="3545" max="3545" width="13" style="6" customWidth="1"/>
    <col min="3546" max="3571" width="12.7109375" style="6" customWidth="1"/>
    <col min="3572" max="3793" width="8.85546875" style="6"/>
    <col min="3794" max="3794" width="37.42578125" style="6" customWidth="1"/>
    <col min="3795" max="3797" width="0" style="6" hidden="1" customWidth="1"/>
    <col min="3798" max="3798" width="15.42578125" style="6" bestFit="1" customWidth="1"/>
    <col min="3799" max="3799" width="16.140625" style="6" customWidth="1"/>
    <col min="3800" max="3800" width="14.42578125" style="6" customWidth="1"/>
    <col min="3801" max="3801" width="13" style="6" customWidth="1"/>
    <col min="3802" max="3827" width="12.7109375" style="6" customWidth="1"/>
    <col min="3828" max="4049" width="8.85546875" style="6"/>
    <col min="4050" max="4050" width="37.42578125" style="6" customWidth="1"/>
    <col min="4051" max="4053" width="0" style="6" hidden="1" customWidth="1"/>
    <col min="4054" max="4054" width="15.42578125" style="6" bestFit="1" customWidth="1"/>
    <col min="4055" max="4055" width="16.140625" style="6" customWidth="1"/>
    <col min="4056" max="4056" width="14.42578125" style="6" customWidth="1"/>
    <col min="4057" max="4057" width="13" style="6" customWidth="1"/>
    <col min="4058" max="4083" width="12.7109375" style="6" customWidth="1"/>
    <col min="4084" max="4305" width="8.85546875" style="6"/>
    <col min="4306" max="4306" width="37.42578125" style="6" customWidth="1"/>
    <col min="4307" max="4309" width="0" style="6" hidden="1" customWidth="1"/>
    <col min="4310" max="4310" width="15.42578125" style="6" bestFit="1" customWidth="1"/>
    <col min="4311" max="4311" width="16.140625" style="6" customWidth="1"/>
    <col min="4312" max="4312" width="14.42578125" style="6" customWidth="1"/>
    <col min="4313" max="4313" width="13" style="6" customWidth="1"/>
    <col min="4314" max="4339" width="12.7109375" style="6" customWidth="1"/>
    <col min="4340" max="4561" width="8.85546875" style="6"/>
    <col min="4562" max="4562" width="37.42578125" style="6" customWidth="1"/>
    <col min="4563" max="4565" width="0" style="6" hidden="1" customWidth="1"/>
    <col min="4566" max="4566" width="15.42578125" style="6" bestFit="1" customWidth="1"/>
    <col min="4567" max="4567" width="16.140625" style="6" customWidth="1"/>
    <col min="4568" max="4568" width="14.42578125" style="6" customWidth="1"/>
    <col min="4569" max="4569" width="13" style="6" customWidth="1"/>
    <col min="4570" max="4595" width="12.7109375" style="6" customWidth="1"/>
    <col min="4596" max="4817" width="8.85546875" style="6"/>
    <col min="4818" max="4818" width="37.42578125" style="6" customWidth="1"/>
    <col min="4819" max="4821" width="0" style="6" hidden="1" customWidth="1"/>
    <col min="4822" max="4822" width="15.42578125" style="6" bestFit="1" customWidth="1"/>
    <col min="4823" max="4823" width="16.140625" style="6" customWidth="1"/>
    <col min="4824" max="4824" width="14.42578125" style="6" customWidth="1"/>
    <col min="4825" max="4825" width="13" style="6" customWidth="1"/>
    <col min="4826" max="4851" width="12.7109375" style="6" customWidth="1"/>
    <col min="4852" max="5073" width="8.85546875" style="6"/>
    <col min="5074" max="5074" width="37.42578125" style="6" customWidth="1"/>
    <col min="5075" max="5077" width="0" style="6" hidden="1" customWidth="1"/>
    <col min="5078" max="5078" width="15.42578125" style="6" bestFit="1" customWidth="1"/>
    <col min="5079" max="5079" width="16.140625" style="6" customWidth="1"/>
    <col min="5080" max="5080" width="14.42578125" style="6" customWidth="1"/>
    <col min="5081" max="5081" width="13" style="6" customWidth="1"/>
    <col min="5082" max="5107" width="12.7109375" style="6" customWidth="1"/>
    <col min="5108" max="5329" width="8.85546875" style="6"/>
    <col min="5330" max="5330" width="37.42578125" style="6" customWidth="1"/>
    <col min="5331" max="5333" width="0" style="6" hidden="1" customWidth="1"/>
    <col min="5334" max="5334" width="15.42578125" style="6" bestFit="1" customWidth="1"/>
    <col min="5335" max="5335" width="16.140625" style="6" customWidth="1"/>
    <col min="5336" max="5336" width="14.42578125" style="6" customWidth="1"/>
    <col min="5337" max="5337" width="13" style="6" customWidth="1"/>
    <col min="5338" max="5363" width="12.7109375" style="6" customWidth="1"/>
    <col min="5364" max="5585" width="8.85546875" style="6"/>
    <col min="5586" max="5586" width="37.42578125" style="6" customWidth="1"/>
    <col min="5587" max="5589" width="0" style="6" hidden="1" customWidth="1"/>
    <col min="5590" max="5590" width="15.42578125" style="6" bestFit="1" customWidth="1"/>
    <col min="5591" max="5591" width="16.140625" style="6" customWidth="1"/>
    <col min="5592" max="5592" width="14.42578125" style="6" customWidth="1"/>
    <col min="5593" max="5593" width="13" style="6" customWidth="1"/>
    <col min="5594" max="5619" width="12.7109375" style="6" customWidth="1"/>
    <col min="5620" max="5841" width="8.85546875" style="6"/>
    <col min="5842" max="5842" width="37.42578125" style="6" customWidth="1"/>
    <col min="5843" max="5845" width="0" style="6" hidden="1" customWidth="1"/>
    <col min="5846" max="5846" width="15.42578125" style="6" bestFit="1" customWidth="1"/>
    <col min="5847" max="5847" width="16.140625" style="6" customWidth="1"/>
    <col min="5848" max="5848" width="14.42578125" style="6" customWidth="1"/>
    <col min="5849" max="5849" width="13" style="6" customWidth="1"/>
    <col min="5850" max="5875" width="12.7109375" style="6" customWidth="1"/>
    <col min="5876" max="6097" width="8.85546875" style="6"/>
    <col min="6098" max="6098" width="37.42578125" style="6" customWidth="1"/>
    <col min="6099" max="6101" width="0" style="6" hidden="1" customWidth="1"/>
    <col min="6102" max="6102" width="15.42578125" style="6" bestFit="1" customWidth="1"/>
    <col min="6103" max="6103" width="16.140625" style="6" customWidth="1"/>
    <col min="6104" max="6104" width="14.42578125" style="6" customWidth="1"/>
    <col min="6105" max="6105" width="13" style="6" customWidth="1"/>
    <col min="6106" max="6131" width="12.7109375" style="6" customWidth="1"/>
    <col min="6132" max="6353" width="8.85546875" style="6"/>
    <col min="6354" max="6354" width="37.42578125" style="6" customWidth="1"/>
    <col min="6355" max="6357" width="0" style="6" hidden="1" customWidth="1"/>
    <col min="6358" max="6358" width="15.42578125" style="6" bestFit="1" customWidth="1"/>
    <col min="6359" max="6359" width="16.140625" style="6" customWidth="1"/>
    <col min="6360" max="6360" width="14.42578125" style="6" customWidth="1"/>
    <col min="6361" max="6361" width="13" style="6" customWidth="1"/>
    <col min="6362" max="6387" width="12.7109375" style="6" customWidth="1"/>
    <col min="6388" max="6609" width="8.85546875" style="6"/>
    <col min="6610" max="6610" width="37.42578125" style="6" customWidth="1"/>
    <col min="6611" max="6613" width="0" style="6" hidden="1" customWidth="1"/>
    <col min="6614" max="6614" width="15.42578125" style="6" bestFit="1" customWidth="1"/>
    <col min="6615" max="6615" width="16.140625" style="6" customWidth="1"/>
    <col min="6616" max="6616" width="14.42578125" style="6" customWidth="1"/>
    <col min="6617" max="6617" width="13" style="6" customWidth="1"/>
    <col min="6618" max="6643" width="12.7109375" style="6" customWidth="1"/>
    <col min="6644" max="6865" width="8.85546875" style="6"/>
    <col min="6866" max="6866" width="37.42578125" style="6" customWidth="1"/>
    <col min="6867" max="6869" width="0" style="6" hidden="1" customWidth="1"/>
    <col min="6870" max="6870" width="15.42578125" style="6" bestFit="1" customWidth="1"/>
    <col min="6871" max="6871" width="16.140625" style="6" customWidth="1"/>
    <col min="6872" max="6872" width="14.42578125" style="6" customWidth="1"/>
    <col min="6873" max="6873" width="13" style="6" customWidth="1"/>
    <col min="6874" max="6899" width="12.7109375" style="6" customWidth="1"/>
    <col min="6900" max="7121" width="8.85546875" style="6"/>
    <col min="7122" max="7122" width="37.42578125" style="6" customWidth="1"/>
    <col min="7123" max="7125" width="0" style="6" hidden="1" customWidth="1"/>
    <col min="7126" max="7126" width="15.42578125" style="6" bestFit="1" customWidth="1"/>
    <col min="7127" max="7127" width="16.140625" style="6" customWidth="1"/>
    <col min="7128" max="7128" width="14.42578125" style="6" customWidth="1"/>
    <col min="7129" max="7129" width="13" style="6" customWidth="1"/>
    <col min="7130" max="7155" width="12.7109375" style="6" customWidth="1"/>
    <col min="7156" max="7377" width="8.85546875" style="6"/>
    <col min="7378" max="7378" width="37.42578125" style="6" customWidth="1"/>
    <col min="7379" max="7381" width="0" style="6" hidden="1" customWidth="1"/>
    <col min="7382" max="7382" width="15.42578125" style="6" bestFit="1" customWidth="1"/>
    <col min="7383" max="7383" width="16.140625" style="6" customWidth="1"/>
    <col min="7384" max="7384" width="14.42578125" style="6" customWidth="1"/>
    <col min="7385" max="7385" width="13" style="6" customWidth="1"/>
    <col min="7386" max="7411" width="12.7109375" style="6" customWidth="1"/>
    <col min="7412" max="7633" width="8.85546875" style="6"/>
    <col min="7634" max="7634" width="37.42578125" style="6" customWidth="1"/>
    <col min="7635" max="7637" width="0" style="6" hidden="1" customWidth="1"/>
    <col min="7638" max="7638" width="15.42578125" style="6" bestFit="1" customWidth="1"/>
    <col min="7639" max="7639" width="16.140625" style="6" customWidth="1"/>
    <col min="7640" max="7640" width="14.42578125" style="6" customWidth="1"/>
    <col min="7641" max="7641" width="13" style="6" customWidth="1"/>
    <col min="7642" max="7667" width="12.7109375" style="6" customWidth="1"/>
    <col min="7668" max="7889" width="8.85546875" style="6"/>
    <col min="7890" max="7890" width="37.42578125" style="6" customWidth="1"/>
    <col min="7891" max="7893" width="0" style="6" hidden="1" customWidth="1"/>
    <col min="7894" max="7894" width="15.42578125" style="6" bestFit="1" customWidth="1"/>
    <col min="7895" max="7895" width="16.140625" style="6" customWidth="1"/>
    <col min="7896" max="7896" width="14.42578125" style="6" customWidth="1"/>
    <col min="7897" max="7897" width="13" style="6" customWidth="1"/>
    <col min="7898" max="7923" width="12.7109375" style="6" customWidth="1"/>
    <col min="7924" max="8145" width="8.85546875" style="6"/>
    <col min="8146" max="8146" width="37.42578125" style="6" customWidth="1"/>
    <col min="8147" max="8149" width="0" style="6" hidden="1" customWidth="1"/>
    <col min="8150" max="8150" width="15.42578125" style="6" bestFit="1" customWidth="1"/>
    <col min="8151" max="8151" width="16.140625" style="6" customWidth="1"/>
    <col min="8152" max="8152" width="14.42578125" style="6" customWidth="1"/>
    <col min="8153" max="8153" width="13" style="6" customWidth="1"/>
    <col min="8154" max="8179" width="12.7109375" style="6" customWidth="1"/>
    <col min="8180" max="8401" width="8.85546875" style="6"/>
    <col min="8402" max="8402" width="37.42578125" style="6" customWidth="1"/>
    <col min="8403" max="8405" width="0" style="6" hidden="1" customWidth="1"/>
    <col min="8406" max="8406" width="15.42578125" style="6" bestFit="1" customWidth="1"/>
    <col min="8407" max="8407" width="16.140625" style="6" customWidth="1"/>
    <col min="8408" max="8408" width="14.42578125" style="6" customWidth="1"/>
    <col min="8409" max="8409" width="13" style="6" customWidth="1"/>
    <col min="8410" max="8435" width="12.7109375" style="6" customWidth="1"/>
    <col min="8436" max="8657" width="8.85546875" style="6"/>
    <col min="8658" max="8658" width="37.42578125" style="6" customWidth="1"/>
    <col min="8659" max="8661" width="0" style="6" hidden="1" customWidth="1"/>
    <col min="8662" max="8662" width="15.42578125" style="6" bestFit="1" customWidth="1"/>
    <col min="8663" max="8663" width="16.140625" style="6" customWidth="1"/>
    <col min="8664" max="8664" width="14.42578125" style="6" customWidth="1"/>
    <col min="8665" max="8665" width="13" style="6" customWidth="1"/>
    <col min="8666" max="8691" width="12.7109375" style="6" customWidth="1"/>
    <col min="8692" max="8913" width="8.85546875" style="6"/>
    <col min="8914" max="8914" width="37.42578125" style="6" customWidth="1"/>
    <col min="8915" max="8917" width="0" style="6" hidden="1" customWidth="1"/>
    <col min="8918" max="8918" width="15.42578125" style="6" bestFit="1" customWidth="1"/>
    <col min="8919" max="8919" width="16.140625" style="6" customWidth="1"/>
    <col min="8920" max="8920" width="14.42578125" style="6" customWidth="1"/>
    <col min="8921" max="8921" width="13" style="6" customWidth="1"/>
    <col min="8922" max="8947" width="12.7109375" style="6" customWidth="1"/>
    <col min="8948" max="9169" width="8.85546875" style="6"/>
    <col min="9170" max="9170" width="37.42578125" style="6" customWidth="1"/>
    <col min="9171" max="9173" width="0" style="6" hidden="1" customWidth="1"/>
    <col min="9174" max="9174" width="15.42578125" style="6" bestFit="1" customWidth="1"/>
    <col min="9175" max="9175" width="16.140625" style="6" customWidth="1"/>
    <col min="9176" max="9176" width="14.42578125" style="6" customWidth="1"/>
    <col min="9177" max="9177" width="13" style="6" customWidth="1"/>
    <col min="9178" max="9203" width="12.7109375" style="6" customWidth="1"/>
    <col min="9204" max="9425" width="8.85546875" style="6"/>
    <col min="9426" max="9426" width="37.42578125" style="6" customWidth="1"/>
    <col min="9427" max="9429" width="0" style="6" hidden="1" customWidth="1"/>
    <col min="9430" max="9430" width="15.42578125" style="6" bestFit="1" customWidth="1"/>
    <col min="9431" max="9431" width="16.140625" style="6" customWidth="1"/>
    <col min="9432" max="9432" width="14.42578125" style="6" customWidth="1"/>
    <col min="9433" max="9433" width="13" style="6" customWidth="1"/>
    <col min="9434" max="9459" width="12.7109375" style="6" customWidth="1"/>
    <col min="9460" max="9681" width="8.85546875" style="6"/>
    <col min="9682" max="9682" width="37.42578125" style="6" customWidth="1"/>
    <col min="9683" max="9685" width="0" style="6" hidden="1" customWidth="1"/>
    <col min="9686" max="9686" width="15.42578125" style="6" bestFit="1" customWidth="1"/>
    <col min="9687" max="9687" width="16.140625" style="6" customWidth="1"/>
    <col min="9688" max="9688" width="14.42578125" style="6" customWidth="1"/>
    <col min="9689" max="9689" width="13" style="6" customWidth="1"/>
    <col min="9690" max="9715" width="12.7109375" style="6" customWidth="1"/>
    <col min="9716" max="9937" width="8.85546875" style="6"/>
    <col min="9938" max="9938" width="37.42578125" style="6" customWidth="1"/>
    <col min="9939" max="9941" width="0" style="6" hidden="1" customWidth="1"/>
    <col min="9942" max="9942" width="15.42578125" style="6" bestFit="1" customWidth="1"/>
    <col min="9943" max="9943" width="16.140625" style="6" customWidth="1"/>
    <col min="9944" max="9944" width="14.42578125" style="6" customWidth="1"/>
    <col min="9945" max="9945" width="13" style="6" customWidth="1"/>
    <col min="9946" max="9971" width="12.7109375" style="6" customWidth="1"/>
    <col min="9972" max="10193" width="8.85546875" style="6"/>
    <col min="10194" max="10194" width="37.42578125" style="6" customWidth="1"/>
    <col min="10195" max="10197" width="0" style="6" hidden="1" customWidth="1"/>
    <col min="10198" max="10198" width="15.42578125" style="6" bestFit="1" customWidth="1"/>
    <col min="10199" max="10199" width="16.140625" style="6" customWidth="1"/>
    <col min="10200" max="10200" width="14.42578125" style="6" customWidth="1"/>
    <col min="10201" max="10201" width="13" style="6" customWidth="1"/>
    <col min="10202" max="10227" width="12.7109375" style="6" customWidth="1"/>
    <col min="10228" max="10449" width="8.85546875" style="6"/>
    <col min="10450" max="10450" width="37.42578125" style="6" customWidth="1"/>
    <col min="10451" max="10453" width="0" style="6" hidden="1" customWidth="1"/>
    <col min="10454" max="10454" width="15.42578125" style="6" bestFit="1" customWidth="1"/>
    <col min="10455" max="10455" width="16.140625" style="6" customWidth="1"/>
    <col min="10456" max="10456" width="14.42578125" style="6" customWidth="1"/>
    <col min="10457" max="10457" width="13" style="6" customWidth="1"/>
    <col min="10458" max="10483" width="12.7109375" style="6" customWidth="1"/>
    <col min="10484" max="10705" width="8.85546875" style="6"/>
    <col min="10706" max="10706" width="37.42578125" style="6" customWidth="1"/>
    <col min="10707" max="10709" width="0" style="6" hidden="1" customWidth="1"/>
    <col min="10710" max="10710" width="15.42578125" style="6" bestFit="1" customWidth="1"/>
    <col min="10711" max="10711" width="16.140625" style="6" customWidth="1"/>
    <col min="10712" max="10712" width="14.42578125" style="6" customWidth="1"/>
    <col min="10713" max="10713" width="13" style="6" customWidth="1"/>
    <col min="10714" max="10739" width="12.7109375" style="6" customWidth="1"/>
    <col min="10740" max="10961" width="8.85546875" style="6"/>
    <col min="10962" max="10962" width="37.42578125" style="6" customWidth="1"/>
    <col min="10963" max="10965" width="0" style="6" hidden="1" customWidth="1"/>
    <col min="10966" max="10966" width="15.42578125" style="6" bestFit="1" customWidth="1"/>
    <col min="10967" max="10967" width="16.140625" style="6" customWidth="1"/>
    <col min="10968" max="10968" width="14.42578125" style="6" customWidth="1"/>
    <col min="10969" max="10969" width="13" style="6" customWidth="1"/>
    <col min="10970" max="10995" width="12.7109375" style="6" customWidth="1"/>
    <col min="10996" max="11217" width="8.85546875" style="6"/>
    <col min="11218" max="11218" width="37.42578125" style="6" customWidth="1"/>
    <col min="11219" max="11221" width="0" style="6" hidden="1" customWidth="1"/>
    <col min="11222" max="11222" width="15.42578125" style="6" bestFit="1" customWidth="1"/>
    <col min="11223" max="11223" width="16.140625" style="6" customWidth="1"/>
    <col min="11224" max="11224" width="14.42578125" style="6" customWidth="1"/>
    <col min="11225" max="11225" width="13" style="6" customWidth="1"/>
    <col min="11226" max="11251" width="12.7109375" style="6" customWidth="1"/>
    <col min="11252" max="11473" width="8.85546875" style="6"/>
    <col min="11474" max="11474" width="37.42578125" style="6" customWidth="1"/>
    <col min="11475" max="11477" width="0" style="6" hidden="1" customWidth="1"/>
    <col min="11478" max="11478" width="15.42578125" style="6" bestFit="1" customWidth="1"/>
    <col min="11479" max="11479" width="16.140625" style="6" customWidth="1"/>
    <col min="11480" max="11480" width="14.42578125" style="6" customWidth="1"/>
    <col min="11481" max="11481" width="13" style="6" customWidth="1"/>
    <col min="11482" max="11507" width="12.7109375" style="6" customWidth="1"/>
    <col min="11508" max="11729" width="8.85546875" style="6"/>
    <col min="11730" max="11730" width="37.42578125" style="6" customWidth="1"/>
    <col min="11731" max="11733" width="0" style="6" hidden="1" customWidth="1"/>
    <col min="11734" max="11734" width="15.42578125" style="6" bestFit="1" customWidth="1"/>
    <col min="11735" max="11735" width="16.140625" style="6" customWidth="1"/>
    <col min="11736" max="11736" width="14.42578125" style="6" customWidth="1"/>
    <col min="11737" max="11737" width="13" style="6" customWidth="1"/>
    <col min="11738" max="11763" width="12.7109375" style="6" customWidth="1"/>
    <col min="11764" max="11985" width="8.85546875" style="6"/>
    <col min="11986" max="11986" width="37.42578125" style="6" customWidth="1"/>
    <col min="11987" max="11989" width="0" style="6" hidden="1" customWidth="1"/>
    <col min="11990" max="11990" width="15.42578125" style="6" bestFit="1" customWidth="1"/>
    <col min="11991" max="11991" width="16.140625" style="6" customWidth="1"/>
    <col min="11992" max="11992" width="14.42578125" style="6" customWidth="1"/>
    <col min="11993" max="11993" width="13" style="6" customWidth="1"/>
    <col min="11994" max="12019" width="12.7109375" style="6" customWidth="1"/>
    <col min="12020" max="12241" width="8.85546875" style="6"/>
    <col min="12242" max="12242" width="37.42578125" style="6" customWidth="1"/>
    <col min="12243" max="12245" width="0" style="6" hidden="1" customWidth="1"/>
    <col min="12246" max="12246" width="15.42578125" style="6" bestFit="1" customWidth="1"/>
    <col min="12247" max="12247" width="16.140625" style="6" customWidth="1"/>
    <col min="12248" max="12248" width="14.42578125" style="6" customWidth="1"/>
    <col min="12249" max="12249" width="13" style="6" customWidth="1"/>
    <col min="12250" max="12275" width="12.7109375" style="6" customWidth="1"/>
    <col min="12276" max="12497" width="8.85546875" style="6"/>
    <col min="12498" max="12498" width="37.42578125" style="6" customWidth="1"/>
    <col min="12499" max="12501" width="0" style="6" hidden="1" customWidth="1"/>
    <col min="12502" max="12502" width="15.42578125" style="6" bestFit="1" customWidth="1"/>
    <col min="12503" max="12503" width="16.140625" style="6" customWidth="1"/>
    <col min="12504" max="12504" width="14.42578125" style="6" customWidth="1"/>
    <col min="12505" max="12505" width="13" style="6" customWidth="1"/>
    <col min="12506" max="12531" width="12.7109375" style="6" customWidth="1"/>
    <col min="12532" max="12753" width="8.85546875" style="6"/>
    <col min="12754" max="12754" width="37.42578125" style="6" customWidth="1"/>
    <col min="12755" max="12757" width="0" style="6" hidden="1" customWidth="1"/>
    <col min="12758" max="12758" width="15.42578125" style="6" bestFit="1" customWidth="1"/>
    <col min="12759" max="12759" width="16.140625" style="6" customWidth="1"/>
    <col min="12760" max="12760" width="14.42578125" style="6" customWidth="1"/>
    <col min="12761" max="12761" width="13" style="6" customWidth="1"/>
    <col min="12762" max="12787" width="12.7109375" style="6" customWidth="1"/>
    <col min="12788" max="13009" width="8.85546875" style="6"/>
    <col min="13010" max="13010" width="37.42578125" style="6" customWidth="1"/>
    <col min="13011" max="13013" width="0" style="6" hidden="1" customWidth="1"/>
    <col min="13014" max="13014" width="15.42578125" style="6" bestFit="1" customWidth="1"/>
    <col min="13015" max="13015" width="16.140625" style="6" customWidth="1"/>
    <col min="13016" max="13016" width="14.42578125" style="6" customWidth="1"/>
    <col min="13017" max="13017" width="13" style="6" customWidth="1"/>
    <col min="13018" max="13043" width="12.7109375" style="6" customWidth="1"/>
    <col min="13044" max="13265" width="8.85546875" style="6"/>
    <col min="13266" max="13266" width="37.42578125" style="6" customWidth="1"/>
    <col min="13267" max="13269" width="0" style="6" hidden="1" customWidth="1"/>
    <col min="13270" max="13270" width="15.42578125" style="6" bestFit="1" customWidth="1"/>
    <col min="13271" max="13271" width="16.140625" style="6" customWidth="1"/>
    <col min="13272" max="13272" width="14.42578125" style="6" customWidth="1"/>
    <col min="13273" max="13273" width="13" style="6" customWidth="1"/>
    <col min="13274" max="13299" width="12.7109375" style="6" customWidth="1"/>
    <col min="13300" max="13521" width="8.85546875" style="6"/>
    <col min="13522" max="13522" width="37.42578125" style="6" customWidth="1"/>
    <col min="13523" max="13525" width="0" style="6" hidden="1" customWidth="1"/>
    <col min="13526" max="13526" width="15.42578125" style="6" bestFit="1" customWidth="1"/>
    <col min="13527" max="13527" width="16.140625" style="6" customWidth="1"/>
    <col min="13528" max="13528" width="14.42578125" style="6" customWidth="1"/>
    <col min="13529" max="13529" width="13" style="6" customWidth="1"/>
    <col min="13530" max="13555" width="12.7109375" style="6" customWidth="1"/>
    <col min="13556" max="13777" width="8.85546875" style="6"/>
    <col min="13778" max="13778" width="37.42578125" style="6" customWidth="1"/>
    <col min="13779" max="13781" width="0" style="6" hidden="1" customWidth="1"/>
    <col min="13782" max="13782" width="15.42578125" style="6" bestFit="1" customWidth="1"/>
    <col min="13783" max="13783" width="16.140625" style="6" customWidth="1"/>
    <col min="13784" max="13784" width="14.42578125" style="6" customWidth="1"/>
    <col min="13785" max="13785" width="13" style="6" customWidth="1"/>
    <col min="13786" max="13811" width="12.7109375" style="6" customWidth="1"/>
    <col min="13812" max="14033" width="8.85546875" style="6"/>
    <col min="14034" max="14034" width="37.42578125" style="6" customWidth="1"/>
    <col min="14035" max="14037" width="0" style="6" hidden="1" customWidth="1"/>
    <col min="14038" max="14038" width="15.42578125" style="6" bestFit="1" customWidth="1"/>
    <col min="14039" max="14039" width="16.140625" style="6" customWidth="1"/>
    <col min="14040" max="14040" width="14.42578125" style="6" customWidth="1"/>
    <col min="14041" max="14041" width="13" style="6" customWidth="1"/>
    <col min="14042" max="14067" width="12.7109375" style="6" customWidth="1"/>
    <col min="14068" max="14289" width="8.85546875" style="6"/>
    <col min="14290" max="14290" width="37.42578125" style="6" customWidth="1"/>
    <col min="14291" max="14293" width="0" style="6" hidden="1" customWidth="1"/>
    <col min="14294" max="14294" width="15.42578125" style="6" bestFit="1" customWidth="1"/>
    <col min="14295" max="14295" width="16.140625" style="6" customWidth="1"/>
    <col min="14296" max="14296" width="14.42578125" style="6" customWidth="1"/>
    <col min="14297" max="14297" width="13" style="6" customWidth="1"/>
    <col min="14298" max="14323" width="12.7109375" style="6" customWidth="1"/>
    <col min="14324" max="14545" width="8.85546875" style="6"/>
    <col min="14546" max="14546" width="37.42578125" style="6" customWidth="1"/>
    <col min="14547" max="14549" width="0" style="6" hidden="1" customWidth="1"/>
    <col min="14550" max="14550" width="15.42578125" style="6" bestFit="1" customWidth="1"/>
    <col min="14551" max="14551" width="16.140625" style="6" customWidth="1"/>
    <col min="14552" max="14552" width="14.42578125" style="6" customWidth="1"/>
    <col min="14553" max="14553" width="13" style="6" customWidth="1"/>
    <col min="14554" max="14579" width="12.7109375" style="6" customWidth="1"/>
    <col min="14580" max="14801" width="8.85546875" style="6"/>
    <col min="14802" max="14802" width="37.42578125" style="6" customWidth="1"/>
    <col min="14803" max="14805" width="0" style="6" hidden="1" customWidth="1"/>
    <col min="14806" max="14806" width="15.42578125" style="6" bestFit="1" customWidth="1"/>
    <col min="14807" max="14807" width="16.140625" style="6" customWidth="1"/>
    <col min="14808" max="14808" width="14.42578125" style="6" customWidth="1"/>
    <col min="14809" max="14809" width="13" style="6" customWidth="1"/>
    <col min="14810" max="14835" width="12.7109375" style="6" customWidth="1"/>
    <col min="14836" max="15057" width="8.85546875" style="6"/>
    <col min="15058" max="15058" width="37.42578125" style="6" customWidth="1"/>
    <col min="15059" max="15061" width="0" style="6" hidden="1" customWidth="1"/>
    <col min="15062" max="15062" width="15.42578125" style="6" bestFit="1" customWidth="1"/>
    <col min="15063" max="15063" width="16.140625" style="6" customWidth="1"/>
    <col min="15064" max="15064" width="14.42578125" style="6" customWidth="1"/>
    <col min="15065" max="15065" width="13" style="6" customWidth="1"/>
    <col min="15066" max="15091" width="12.7109375" style="6" customWidth="1"/>
    <col min="15092" max="15313" width="8.85546875" style="6"/>
    <col min="15314" max="15314" width="37.42578125" style="6" customWidth="1"/>
    <col min="15315" max="15317" width="0" style="6" hidden="1" customWidth="1"/>
    <col min="15318" max="15318" width="15.42578125" style="6" bestFit="1" customWidth="1"/>
    <col min="15319" max="15319" width="16.140625" style="6" customWidth="1"/>
    <col min="15320" max="15320" width="14.42578125" style="6" customWidth="1"/>
    <col min="15321" max="15321" width="13" style="6" customWidth="1"/>
    <col min="15322" max="15347" width="12.7109375" style="6" customWidth="1"/>
    <col min="15348" max="15569" width="8.85546875" style="6"/>
    <col min="15570" max="15570" width="37.42578125" style="6" customWidth="1"/>
    <col min="15571" max="15573" width="0" style="6" hidden="1" customWidth="1"/>
    <col min="15574" max="15574" width="15.42578125" style="6" bestFit="1" customWidth="1"/>
    <col min="15575" max="15575" width="16.140625" style="6" customWidth="1"/>
    <col min="15576" max="15576" width="14.42578125" style="6" customWidth="1"/>
    <col min="15577" max="15577" width="13" style="6" customWidth="1"/>
    <col min="15578" max="15603" width="12.7109375" style="6" customWidth="1"/>
    <col min="15604" max="15825" width="8.85546875" style="6"/>
    <col min="15826" max="15826" width="37.42578125" style="6" customWidth="1"/>
    <col min="15827" max="15829" width="0" style="6" hidden="1" customWidth="1"/>
    <col min="15830" max="15830" width="15.42578125" style="6" bestFit="1" customWidth="1"/>
    <col min="15831" max="15831" width="16.140625" style="6" customWidth="1"/>
    <col min="15832" max="15832" width="14.42578125" style="6" customWidth="1"/>
    <col min="15833" max="15833" width="13" style="6" customWidth="1"/>
    <col min="15834" max="15859" width="12.7109375" style="6" customWidth="1"/>
    <col min="15860" max="16081" width="8.85546875" style="6"/>
    <col min="16082" max="16082" width="37.42578125" style="6" customWidth="1"/>
    <col min="16083" max="16085" width="0" style="6" hidden="1" customWidth="1"/>
    <col min="16086" max="16086" width="15.42578125" style="6" bestFit="1" customWidth="1"/>
    <col min="16087" max="16087" width="16.140625" style="6" customWidth="1"/>
    <col min="16088" max="16088" width="14.42578125" style="6" customWidth="1"/>
    <col min="16089" max="16089" width="13" style="6" customWidth="1"/>
    <col min="16090" max="16115" width="12.7109375" style="6" customWidth="1"/>
    <col min="16116" max="16384" width="8.85546875" style="6"/>
  </cols>
  <sheetData>
    <row r="2" spans="2:7" ht="14.25" x14ac:dyDescent="0.2">
      <c r="B2" s="2" t="s">
        <v>13</v>
      </c>
    </row>
    <row r="3" spans="2:7" ht="14.25" x14ac:dyDescent="0.2">
      <c r="B3" s="76" t="s">
        <v>191</v>
      </c>
    </row>
    <row r="4" spans="2:7" ht="15" customHeight="1" x14ac:dyDescent="0.2">
      <c r="B4" s="544" t="s">
        <v>198</v>
      </c>
      <c r="C4" s="544"/>
      <c r="D4" s="544"/>
      <c r="E4" s="544"/>
      <c r="F4" s="544"/>
    </row>
    <row r="5" spans="2:7" ht="5.0999999999999996" customHeight="1" thickBot="1" x14ac:dyDescent="0.25"/>
    <row r="6" spans="2:7" s="7" customFormat="1" ht="39.950000000000003" customHeight="1" thickBot="1" x14ac:dyDescent="0.25">
      <c r="B6" s="54" t="s">
        <v>15</v>
      </c>
      <c r="C6" s="55" t="s">
        <v>37</v>
      </c>
      <c r="D6" s="54" t="s">
        <v>116</v>
      </c>
      <c r="E6" s="56" t="s">
        <v>87</v>
      </c>
      <c r="F6" s="55" t="s">
        <v>117</v>
      </c>
      <c r="G6" s="4"/>
    </row>
    <row r="7" spans="2:7" s="7" customFormat="1" ht="12.75" customHeight="1" x14ac:dyDescent="0.2">
      <c r="B7" s="78">
        <v>2014</v>
      </c>
      <c r="C7" s="79">
        <v>0</v>
      </c>
      <c r="D7" s="208">
        <v>0</v>
      </c>
      <c r="E7" s="20">
        <v>0</v>
      </c>
      <c r="F7" s="202">
        <f>E7-D7</f>
        <v>0</v>
      </c>
      <c r="G7" s="4"/>
    </row>
    <row r="8" spans="2:7" ht="12.75" customHeight="1" x14ac:dyDescent="0.2">
      <c r="B8" s="43">
        <v>2015</v>
      </c>
      <c r="C8" s="44">
        <v>1</v>
      </c>
      <c r="D8" s="208">
        <f>-'No Build Maintenance '!D18-'No Build Maintenance '!D24-'No Build Maintenance '!D19-'No Build Maintenance '!D25-'No Build Maintenance '!D26</f>
        <v>-3831686.0755000003</v>
      </c>
      <c r="E8" s="20">
        <v>0</v>
      </c>
      <c r="F8" s="202">
        <f t="shared" ref="F8:F38" si="0">E8-D8</f>
        <v>3831686.0755000003</v>
      </c>
      <c r="G8" s="74"/>
    </row>
    <row r="9" spans="2:7" ht="12.75" customHeight="1" x14ac:dyDescent="0.2">
      <c r="B9" s="43">
        <v>2016</v>
      </c>
      <c r="C9" s="44">
        <v>2</v>
      </c>
      <c r="D9" s="208">
        <v>0</v>
      </c>
      <c r="E9" s="20">
        <v>0</v>
      </c>
      <c r="F9" s="202">
        <f t="shared" si="0"/>
        <v>0</v>
      </c>
      <c r="G9" s="4"/>
    </row>
    <row r="10" spans="2:7" x14ac:dyDescent="0.2">
      <c r="B10" s="43">
        <v>2017</v>
      </c>
      <c r="C10" s="44">
        <v>3</v>
      </c>
      <c r="D10" s="208">
        <f>-'No Build Maintenance '!D9-'No Build Maintenance '!D12-'No Build Maintenance '!D17-'No Build Maintenance '!D23-'No Build Maintenance '!D30</f>
        <v>-136450</v>
      </c>
      <c r="E10" s="20">
        <v>0</v>
      </c>
      <c r="F10" s="202">
        <f t="shared" si="0"/>
        <v>136450</v>
      </c>
      <c r="G10" s="4"/>
    </row>
    <row r="11" spans="2:7" ht="12.75" customHeight="1" x14ac:dyDescent="0.2">
      <c r="B11" s="43">
        <v>2018</v>
      </c>
      <c r="C11" s="44">
        <v>4</v>
      </c>
      <c r="D11" s="208">
        <v>0</v>
      </c>
      <c r="E11" s="20">
        <f>-'Maintenance and Repair Costs'!D8</f>
        <v>-81153</v>
      </c>
      <c r="F11" s="202">
        <f t="shared" si="0"/>
        <v>-81153</v>
      </c>
      <c r="G11" s="4"/>
    </row>
    <row r="12" spans="2:7" ht="12.75" customHeight="1" x14ac:dyDescent="0.2">
      <c r="B12" s="43">
        <v>2019</v>
      </c>
      <c r="C12" s="44">
        <v>5</v>
      </c>
      <c r="D12" s="208">
        <f>-'No Build Maintenance '!D17-'No Build Maintenance '!D23-'No Build Maintenance '!D30</f>
        <v>-12548.8</v>
      </c>
      <c r="E12" s="20">
        <v>0</v>
      </c>
      <c r="F12" s="202">
        <f t="shared" si="0"/>
        <v>12548.8</v>
      </c>
      <c r="G12" s="4"/>
    </row>
    <row r="13" spans="2:7" ht="12.75" customHeight="1" x14ac:dyDescent="0.2">
      <c r="B13" s="43">
        <v>2020</v>
      </c>
      <c r="C13" s="44">
        <v>6</v>
      </c>
      <c r="D13" s="208">
        <f>-'No Build Maintenance '!D7-'No Build Maintenance '!D13-'No Build Maintenance '!D11-'No Build Maintenance '!D31-'No Build Maintenance '!D15</f>
        <v>-18879473.0625</v>
      </c>
      <c r="E13" s="20">
        <v>0</v>
      </c>
      <c r="F13" s="202">
        <f t="shared" si="0"/>
        <v>18879473.0625</v>
      </c>
      <c r="G13" s="4"/>
    </row>
    <row r="14" spans="2:7" ht="12.75" customHeight="1" x14ac:dyDescent="0.2">
      <c r="B14" s="43">
        <v>2021</v>
      </c>
      <c r="C14" s="44">
        <v>7</v>
      </c>
      <c r="D14" s="208">
        <f>-'No Build Maintenance '!D17-'No Build Maintenance '!D23-'No Build Maintenance '!D30</f>
        <v>-12548.8</v>
      </c>
      <c r="E14" s="20">
        <f>-'Maintenance and Repair Costs'!D8</f>
        <v>-81153</v>
      </c>
      <c r="F14" s="202">
        <f t="shared" si="0"/>
        <v>-68604.2</v>
      </c>
      <c r="G14" s="4"/>
    </row>
    <row r="15" spans="2:7" ht="12.75" customHeight="1" x14ac:dyDescent="0.2">
      <c r="B15" s="43">
        <v>2022</v>
      </c>
      <c r="C15" s="44">
        <v>8</v>
      </c>
      <c r="D15" s="208">
        <v>0</v>
      </c>
      <c r="E15" s="20">
        <v>0</v>
      </c>
      <c r="F15" s="202">
        <f t="shared" si="0"/>
        <v>0</v>
      </c>
      <c r="G15" s="4"/>
    </row>
    <row r="16" spans="2:7" s="5" customFormat="1" ht="12.75" customHeight="1" x14ac:dyDescent="0.2">
      <c r="B16" s="43">
        <v>2023</v>
      </c>
      <c r="C16" s="44">
        <v>9</v>
      </c>
      <c r="D16" s="208">
        <f>-'No Build Maintenance '!D9-'No Build Maintenance '!D12-'No Build Maintenance '!D17-'No Build Maintenance '!D23-'No Build Maintenance '!D30</f>
        <v>-136450</v>
      </c>
      <c r="E16" s="20">
        <v>0</v>
      </c>
      <c r="F16" s="202">
        <f t="shared" si="0"/>
        <v>136450</v>
      </c>
      <c r="G16" s="4"/>
    </row>
    <row r="17" spans="2:7" ht="12.75" customHeight="1" x14ac:dyDescent="0.2">
      <c r="B17" s="43">
        <v>2024</v>
      </c>
      <c r="C17" s="44">
        <v>10</v>
      </c>
      <c r="D17" s="208">
        <v>0</v>
      </c>
      <c r="E17" s="20">
        <f>-'Maintenance and Repair Costs'!D8</f>
        <v>-81153</v>
      </c>
      <c r="F17" s="202">
        <f t="shared" si="0"/>
        <v>-81153</v>
      </c>
      <c r="G17" s="4"/>
    </row>
    <row r="18" spans="2:7" ht="12.75" customHeight="1" x14ac:dyDescent="0.2">
      <c r="B18" s="43">
        <v>2025</v>
      </c>
      <c r="C18" s="44">
        <v>11</v>
      </c>
      <c r="D18" s="208">
        <f>-'No Build Maintenance '!D16-'No Build Maintenance '!D17-'No Build Maintenance '!D23-'No Build Maintenance '!D30</f>
        <v>-279655.83500000002</v>
      </c>
      <c r="E18" s="20">
        <v>0</v>
      </c>
      <c r="F18" s="202">
        <f t="shared" si="0"/>
        <v>279655.83500000002</v>
      </c>
      <c r="G18" s="4"/>
    </row>
    <row r="19" spans="2:7" ht="12.75" customHeight="1" x14ac:dyDescent="0.2">
      <c r="B19" s="43">
        <v>2026</v>
      </c>
      <c r="C19" s="44">
        <v>12</v>
      </c>
      <c r="D19" s="208">
        <f>-'No Build Maintenance '!D9-'No Build Maintenance '!D12</f>
        <v>-123901.2</v>
      </c>
      <c r="E19" s="20">
        <v>0</v>
      </c>
      <c r="F19" s="202">
        <f t="shared" si="0"/>
        <v>123901.2</v>
      </c>
      <c r="G19" s="4"/>
    </row>
    <row r="20" spans="2:7" ht="12.75" customHeight="1" x14ac:dyDescent="0.2">
      <c r="B20" s="43">
        <v>2027</v>
      </c>
      <c r="C20" s="44">
        <v>13</v>
      </c>
      <c r="D20" s="208">
        <f>-'No Build Maintenance '!D19-'No Build Maintenance '!D25-'No Build Maintenance '!D17</f>
        <v>-364561.4</v>
      </c>
      <c r="E20" s="20">
        <f>-'Maintenance and Repair Costs'!D8</f>
        <v>-81153</v>
      </c>
      <c r="F20" s="202">
        <f t="shared" si="0"/>
        <v>283408.40000000002</v>
      </c>
      <c r="G20" s="4"/>
    </row>
    <row r="21" spans="2:7" ht="12.75" customHeight="1" x14ac:dyDescent="0.2">
      <c r="B21" s="43">
        <v>2028</v>
      </c>
      <c r="C21" s="44">
        <v>14</v>
      </c>
      <c r="D21" s="208">
        <v>0</v>
      </c>
      <c r="E21" s="20">
        <v>0</v>
      </c>
      <c r="F21" s="202">
        <f t="shared" si="0"/>
        <v>0</v>
      </c>
      <c r="G21" s="4"/>
    </row>
    <row r="22" spans="2:7" ht="12.75" customHeight="1" x14ac:dyDescent="0.2">
      <c r="B22" s="43">
        <v>2029</v>
      </c>
      <c r="C22" s="44">
        <v>15</v>
      </c>
      <c r="D22" s="208">
        <f>-'No Build Maintenance '!D9-'No Build Maintenance '!D12-'No Build Maintenance '!D17-'No Build Maintenance '!D23-'No Build Maintenance '!D30</f>
        <v>-136450</v>
      </c>
      <c r="E22" s="20">
        <v>0</v>
      </c>
      <c r="F22" s="202">
        <f t="shared" si="0"/>
        <v>136450</v>
      </c>
      <c r="G22" s="4"/>
    </row>
    <row r="23" spans="2:7" ht="12.75" customHeight="1" x14ac:dyDescent="0.2">
      <c r="B23" s="43">
        <v>2030</v>
      </c>
      <c r="C23" s="44">
        <v>16</v>
      </c>
      <c r="D23" s="208">
        <f>-'No Build Maintenance '!D32-'No Build Maintenance '!D20-'No Build Maintenance '!D27-'No Build Maintenance '!D26-'No Build Maintenance '!D14</f>
        <v>-767955.57499999995</v>
      </c>
      <c r="E23" s="20">
        <f>-'Maintenance and Repair Costs'!D7</f>
        <v>-1875505.6470000001</v>
      </c>
      <c r="F23" s="202">
        <f t="shared" si="0"/>
        <v>-1107550.0720000002</v>
      </c>
      <c r="G23" s="4"/>
    </row>
    <row r="24" spans="2:7" ht="12.75" customHeight="1" x14ac:dyDescent="0.2">
      <c r="B24" s="43">
        <v>2031</v>
      </c>
      <c r="C24" s="44">
        <v>17</v>
      </c>
      <c r="D24" s="208">
        <f>-'No Build Maintenance '!D17-'No Build Maintenance '!D23-'No Build Maintenance '!D30</f>
        <v>-12548.8</v>
      </c>
      <c r="E24" s="20">
        <v>0</v>
      </c>
      <c r="F24" s="202">
        <f t="shared" si="0"/>
        <v>12548.8</v>
      </c>
      <c r="G24" s="4"/>
    </row>
    <row r="25" spans="2:7" ht="12.75" customHeight="1" x14ac:dyDescent="0.2">
      <c r="B25" s="43">
        <v>2032</v>
      </c>
      <c r="C25" s="44">
        <v>18</v>
      </c>
      <c r="D25" s="208">
        <f>-'No Build Maintenance '!D12-'No Build Maintenance '!D9</f>
        <v>-123901.2</v>
      </c>
      <c r="E25" s="20">
        <v>0</v>
      </c>
      <c r="F25" s="202">
        <f t="shared" si="0"/>
        <v>123901.2</v>
      </c>
      <c r="G25" s="4"/>
    </row>
    <row r="26" spans="2:7" ht="12.75" customHeight="1" x14ac:dyDescent="0.2">
      <c r="B26" s="43">
        <v>2033</v>
      </c>
      <c r="C26" s="44">
        <v>19</v>
      </c>
      <c r="D26" s="208">
        <f>-'No Build Maintenance '!D17-'No Build Maintenance '!D23-'No Build Maintenance '!D30</f>
        <v>-12548.8</v>
      </c>
      <c r="E26" s="20">
        <f>-'Maintenance and Repair Costs'!D8</f>
        <v>-81153</v>
      </c>
      <c r="F26" s="202">
        <f t="shared" si="0"/>
        <v>-68604.2</v>
      </c>
      <c r="G26" s="4"/>
    </row>
    <row r="27" spans="2:7" ht="12.75" customHeight="1" x14ac:dyDescent="0.2">
      <c r="B27" s="43">
        <v>2034</v>
      </c>
      <c r="C27" s="44">
        <v>20</v>
      </c>
      <c r="D27" s="208">
        <v>0</v>
      </c>
      <c r="E27" s="20">
        <v>0</v>
      </c>
      <c r="F27" s="202">
        <f t="shared" si="0"/>
        <v>0</v>
      </c>
      <c r="G27" s="4"/>
    </row>
    <row r="28" spans="2:7" ht="12.75" customHeight="1" x14ac:dyDescent="0.2">
      <c r="B28" s="43">
        <v>2035</v>
      </c>
      <c r="C28" s="44">
        <v>21</v>
      </c>
      <c r="D28" s="208">
        <f>-'No Build Maintenance '!D8-'No Build Maintenance '!D10-'No Build Maintenance '!D21-'No Build Maintenance '!D28-'No Build Maintenance '!D17-'No Build Maintenance '!D23-'No Build Maintenance '!D30</f>
        <v>-11223637.948999999</v>
      </c>
      <c r="E28" s="20">
        <v>0</v>
      </c>
      <c r="F28" s="202">
        <f t="shared" si="0"/>
        <v>11223637.948999999</v>
      </c>
      <c r="G28" s="4"/>
    </row>
    <row r="29" spans="2:7" ht="12.75" customHeight="1" x14ac:dyDescent="0.2">
      <c r="B29" s="43">
        <v>2036</v>
      </c>
      <c r="C29" s="44">
        <v>22</v>
      </c>
      <c r="D29" s="208">
        <v>0</v>
      </c>
      <c r="E29" s="20">
        <f>-'Maintenance and Repair Costs'!D8</f>
        <v>-81153</v>
      </c>
      <c r="F29" s="202">
        <f t="shared" si="0"/>
        <v>-81153</v>
      </c>
      <c r="G29" s="4"/>
    </row>
    <row r="30" spans="2:7" ht="12.75" customHeight="1" x14ac:dyDescent="0.2">
      <c r="B30" s="43">
        <v>2037</v>
      </c>
      <c r="C30" s="44">
        <v>23</v>
      </c>
      <c r="D30" s="208">
        <f>-'No Build Maintenance '!D17-'No Build Maintenance '!D23-'No Build Maintenance '!D30</f>
        <v>-12548.8</v>
      </c>
      <c r="E30" s="20">
        <v>0</v>
      </c>
      <c r="F30" s="202">
        <f t="shared" si="0"/>
        <v>12548.8</v>
      </c>
      <c r="G30" s="4"/>
    </row>
    <row r="31" spans="2:7" ht="12.75" customHeight="1" x14ac:dyDescent="0.2">
      <c r="B31" s="43">
        <v>2038</v>
      </c>
      <c r="C31" s="44">
        <v>24</v>
      </c>
      <c r="D31" s="208">
        <f>-'No Build Maintenance '!D9-'No Build Maintenance '!D12</f>
        <v>-123901.2</v>
      </c>
      <c r="E31" s="20">
        <v>0</v>
      </c>
      <c r="F31" s="202">
        <f t="shared" si="0"/>
        <v>123901.2</v>
      </c>
      <c r="G31" s="4"/>
    </row>
    <row r="32" spans="2:7" ht="12.75" customHeight="1" x14ac:dyDescent="0.2">
      <c r="B32" s="43">
        <v>2039</v>
      </c>
      <c r="C32" s="44">
        <v>25</v>
      </c>
      <c r="D32" s="208">
        <f>-'No Build Maintenance '!D19-'No Build Maintenance '!D25-'No Build Maintenance '!D17</f>
        <v>-364561.4</v>
      </c>
      <c r="E32" s="20">
        <f>-'Maintenance and Repair Costs'!D8</f>
        <v>-81153</v>
      </c>
      <c r="F32" s="202">
        <f t="shared" si="0"/>
        <v>283408.40000000002</v>
      </c>
      <c r="G32" s="4"/>
    </row>
    <row r="33" spans="2:7" ht="12.75" customHeight="1" x14ac:dyDescent="0.2">
      <c r="B33" s="43">
        <v>2040</v>
      </c>
      <c r="C33" s="44">
        <v>26</v>
      </c>
      <c r="D33" s="208">
        <f>-'No Build Maintenance '!D33-'No Build Maintenance '!D15-'No Build Maintenance '!D29-'No Build Maintenance '!D22</f>
        <v>-1700222.9405</v>
      </c>
      <c r="E33" s="20">
        <v>0</v>
      </c>
      <c r="F33" s="202">
        <f t="shared" si="0"/>
        <v>1700222.9405</v>
      </c>
      <c r="G33" s="4"/>
    </row>
    <row r="34" spans="2:7" ht="12.75" customHeight="1" x14ac:dyDescent="0.2">
      <c r="B34" s="43">
        <v>2041</v>
      </c>
      <c r="C34" s="44">
        <v>27</v>
      </c>
      <c r="D34" s="208">
        <f>-'No Build Maintenance '!D9-'No Build Maintenance '!D12-'No Build Maintenance '!D17-'No Build Maintenance '!D23-'No Build Maintenance '!D30</f>
        <v>-136450</v>
      </c>
      <c r="E34" s="20">
        <v>0</v>
      </c>
      <c r="F34" s="202">
        <f t="shared" si="0"/>
        <v>136450</v>
      </c>
      <c r="G34" s="4"/>
    </row>
    <row r="35" spans="2:7" ht="12.75" customHeight="1" x14ac:dyDescent="0.2">
      <c r="B35" s="43">
        <v>2042</v>
      </c>
      <c r="C35" s="44">
        <v>28</v>
      </c>
      <c r="D35" s="208">
        <v>0</v>
      </c>
      <c r="E35" s="20">
        <f>-'Maintenance and Repair Costs'!D8</f>
        <v>-81153</v>
      </c>
      <c r="F35" s="202">
        <f t="shared" si="0"/>
        <v>-81153</v>
      </c>
      <c r="G35" s="4"/>
    </row>
    <row r="36" spans="2:7" ht="12.75" customHeight="1" x14ac:dyDescent="0.2">
      <c r="B36" s="43">
        <v>2043</v>
      </c>
      <c r="C36" s="44">
        <v>29</v>
      </c>
      <c r="D36" s="208">
        <f>-'No Build Maintenance '!D17-'No Build Maintenance '!D23-'No Build Maintenance '!D30</f>
        <v>-12548.8</v>
      </c>
      <c r="E36" s="20">
        <v>0</v>
      </c>
      <c r="F36" s="202">
        <f t="shared" si="0"/>
        <v>12548.8</v>
      </c>
      <c r="G36" s="4"/>
    </row>
    <row r="37" spans="2:7" ht="12.75" customHeight="1" x14ac:dyDescent="0.2">
      <c r="B37" s="43">
        <v>2044</v>
      </c>
      <c r="C37" s="44">
        <v>30</v>
      </c>
      <c r="D37" s="208">
        <f>-'No Build Maintenance '!D9-'No Build Maintenance '!D12</f>
        <v>-123901.2</v>
      </c>
      <c r="E37" s="20">
        <v>0</v>
      </c>
      <c r="F37" s="202">
        <f t="shared" si="0"/>
        <v>123901.2</v>
      </c>
      <c r="G37" s="4"/>
    </row>
    <row r="38" spans="2:7" ht="12.75" customHeight="1" x14ac:dyDescent="0.2">
      <c r="B38" s="45">
        <v>2045</v>
      </c>
      <c r="C38" s="46">
        <v>31</v>
      </c>
      <c r="D38" s="201">
        <f>-'No Build Maintenance '!D14-'No Build Maintenance '!D20-'No Build Maintenance '!D27-'No Build Maintenance '!D17-'No Build Maintenance '!D23-'No Build Maintenance '!D30-'No Build Maintenance '!D26</f>
        <v>-353720.87500000006</v>
      </c>
      <c r="E38" s="21">
        <f>-'Maintenance and Repair Costs'!D7</f>
        <v>-1875505.6470000001</v>
      </c>
      <c r="F38" s="209">
        <f t="shared" si="0"/>
        <v>-1521784.7720000001</v>
      </c>
      <c r="G38" s="4"/>
    </row>
    <row r="39" spans="2:7" ht="12.75" customHeight="1" x14ac:dyDescent="0.2">
      <c r="B39" s="72" t="s">
        <v>6</v>
      </c>
      <c r="C39" s="53" t="str">
        <f>"0-31"</f>
        <v>0-31</v>
      </c>
      <c r="D39" s="211">
        <f>SUM(D7:D38)</f>
        <v>-38882172.712499999</v>
      </c>
      <c r="E39" s="108">
        <f>SUM(E7:E38)</f>
        <v>-4400235.2939999998</v>
      </c>
      <c r="F39" s="204">
        <f>SUM(F7:F38)</f>
        <v>34481937.418499999</v>
      </c>
      <c r="G39" s="40"/>
    </row>
    <row r="40" spans="2:7" ht="5.0999999999999996" customHeight="1" x14ac:dyDescent="0.2">
      <c r="B40" s="48"/>
      <c r="C40" s="49"/>
      <c r="D40" s="211"/>
      <c r="E40" s="108"/>
      <c r="F40" s="204"/>
    </row>
    <row r="41" spans="2:7" ht="27.95" customHeight="1" x14ac:dyDescent="0.2">
      <c r="B41" s="542" t="s">
        <v>58</v>
      </c>
      <c r="C41" s="543"/>
      <c r="D41" s="211">
        <f>NPV(0.03,D8:D38)+D7</f>
        <v>-28295027.296777654</v>
      </c>
      <c r="E41" s="108">
        <f>NPV(0.03,E8:E38)+E7</f>
        <v>-2335528.9439679855</v>
      </c>
      <c r="F41" s="204">
        <f>NPV(0.03,F8:F38)+F7</f>
        <v>25959498.352809668</v>
      </c>
    </row>
    <row r="42" spans="2:7" ht="27.95" customHeight="1" x14ac:dyDescent="0.2">
      <c r="B42" s="542" t="s">
        <v>59</v>
      </c>
      <c r="C42" s="543"/>
      <c r="D42" s="211">
        <f>NPV(0.07,D8:D38)+D7</f>
        <v>-20237512.842687499</v>
      </c>
      <c r="E42" s="108">
        <f>NPV(0.07,E8:E38)+E7</f>
        <v>-1120853.7887235612</v>
      </c>
      <c r="F42" s="204">
        <f>NPV(0.07,F8:F38)+F7</f>
        <v>19116659.053963937</v>
      </c>
    </row>
    <row r="43" spans="2:7" ht="5.0999999999999996" customHeight="1" thickBot="1" x14ac:dyDescent="0.25">
      <c r="B43" s="50"/>
      <c r="C43" s="52"/>
      <c r="D43" s="50"/>
      <c r="E43" s="51"/>
      <c r="F43" s="52"/>
    </row>
    <row r="44" spans="2:7" ht="12.75" customHeight="1" x14ac:dyDescent="0.2"/>
    <row r="45" spans="2:7" ht="12.75" customHeight="1" x14ac:dyDescent="0.2"/>
    <row r="46" spans="2:7" ht="12.75" customHeight="1" x14ac:dyDescent="0.2"/>
    <row r="47" spans="2:7" ht="12.75" customHeight="1" x14ac:dyDescent="0.2"/>
    <row r="48" spans="2:7" ht="12.75" customHeight="1" x14ac:dyDescent="0.2"/>
    <row r="49" spans="4:6" ht="12.75" customHeight="1" x14ac:dyDescent="0.2"/>
    <row r="50" spans="4:6" s="5" customFormat="1" ht="12.75" customHeight="1" x14ac:dyDescent="0.2"/>
    <row r="51" spans="4:6" s="5" customFormat="1" ht="12.75" customHeight="1" x14ac:dyDescent="0.2"/>
    <row r="52" spans="4:6" s="5" customFormat="1" ht="12.75" customHeight="1" x14ac:dyDescent="0.2"/>
    <row r="53" spans="4:6" s="5" customFormat="1" ht="12.75" customHeight="1" x14ac:dyDescent="0.2"/>
    <row r="54" spans="4:6" s="5" customFormat="1" ht="12.75" customHeight="1" x14ac:dyDescent="0.2"/>
    <row r="55" spans="4:6" s="5" customFormat="1" ht="12.75" customHeight="1" x14ac:dyDescent="0.2"/>
    <row r="56" spans="4:6" s="5" customFormat="1" ht="12.75" customHeight="1" x14ac:dyDescent="0.2"/>
    <row r="57" spans="4:6" s="5" customFormat="1" ht="12.75" customHeight="1" x14ac:dyDescent="0.2"/>
    <row r="58" spans="4:6" s="5" customFormat="1" ht="12.75" customHeight="1" x14ac:dyDescent="0.2"/>
    <row r="59" spans="4:6" s="5" customFormat="1" ht="12.75" customHeight="1" x14ac:dyDescent="0.2"/>
    <row r="60" spans="4:6" s="5" customFormat="1" ht="12.75" customHeight="1" x14ac:dyDescent="0.2"/>
    <row r="61" spans="4:6" s="8" customFormat="1" ht="12.75" customHeight="1" x14ac:dyDescent="0.2">
      <c r="D61" s="5"/>
      <c r="E61" s="5"/>
      <c r="F61" s="5"/>
    </row>
    <row r="62" spans="4:6" s="8" customFormat="1" ht="12.75" customHeight="1" x14ac:dyDescent="0.2">
      <c r="D62" s="5"/>
      <c r="E62" s="5"/>
      <c r="F62" s="5"/>
    </row>
    <row r="63" spans="4:6" s="8" customFormat="1" ht="12.75" customHeight="1" x14ac:dyDescent="0.2">
      <c r="D63" s="5"/>
      <c r="E63" s="5"/>
      <c r="F63" s="5"/>
    </row>
    <row r="64" spans="4:6" s="5" customFormat="1" x14ac:dyDescent="0.2"/>
    <row r="73" ht="26.25" customHeight="1" x14ac:dyDescent="0.2"/>
  </sheetData>
  <mergeCells count="3">
    <mergeCell ref="B41:C41"/>
    <mergeCell ref="B42:C42"/>
    <mergeCell ref="B4:F4"/>
  </mergeCells>
  <pageMargins left="0.25" right="0.25" top="0.75" bottom="0.75" header="0.3" footer="0.3"/>
  <pageSetup firstPageNumber="15" orientation="portrait" useFirstPageNumber="1" r:id="rId1"/>
  <ignoredErrors>
    <ignoredError sqref="D13 D2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E73"/>
  <sheetViews>
    <sheetView showGridLines="0" view="pageBreakPreview" zoomScaleSheetLayoutView="100" workbookViewId="0"/>
  </sheetViews>
  <sheetFormatPr defaultColWidth="8.85546875" defaultRowHeight="12.75" x14ac:dyDescent="0.2"/>
  <cols>
    <col min="1" max="1" width="8.85546875" style="6"/>
    <col min="2" max="2" width="6.7109375" style="6" customWidth="1"/>
    <col min="3" max="3" width="9.7109375" style="6" customWidth="1"/>
    <col min="4" max="4" width="14.7109375" style="6" customWidth="1"/>
    <col min="5" max="5" width="15.7109375" style="6" customWidth="1"/>
    <col min="6" max="207" width="8.85546875" style="6"/>
    <col min="208" max="208" width="37.42578125" style="6" customWidth="1"/>
    <col min="209" max="211" width="0" style="6" hidden="1" customWidth="1"/>
    <col min="212" max="212" width="15.42578125" style="6" bestFit="1" customWidth="1"/>
    <col min="213" max="213" width="16.140625" style="6" customWidth="1"/>
    <col min="214" max="214" width="14.42578125" style="6" customWidth="1"/>
    <col min="215" max="215" width="13" style="6" customWidth="1"/>
    <col min="216" max="241" width="12.7109375" style="6" customWidth="1"/>
    <col min="242" max="463" width="8.85546875" style="6"/>
    <col min="464" max="464" width="37.42578125" style="6" customWidth="1"/>
    <col min="465" max="467" width="0" style="6" hidden="1" customWidth="1"/>
    <col min="468" max="468" width="15.42578125" style="6" bestFit="1" customWidth="1"/>
    <col min="469" max="469" width="16.140625" style="6" customWidth="1"/>
    <col min="470" max="470" width="14.42578125" style="6" customWidth="1"/>
    <col min="471" max="471" width="13" style="6" customWidth="1"/>
    <col min="472" max="497" width="12.7109375" style="6" customWidth="1"/>
    <col min="498" max="719" width="8.85546875" style="6"/>
    <col min="720" max="720" width="37.42578125" style="6" customWidth="1"/>
    <col min="721" max="723" width="0" style="6" hidden="1" customWidth="1"/>
    <col min="724" max="724" width="15.42578125" style="6" bestFit="1" customWidth="1"/>
    <col min="725" max="725" width="16.140625" style="6" customWidth="1"/>
    <col min="726" max="726" width="14.42578125" style="6" customWidth="1"/>
    <col min="727" max="727" width="13" style="6" customWidth="1"/>
    <col min="728" max="753" width="12.7109375" style="6" customWidth="1"/>
    <col min="754" max="975" width="8.85546875" style="6"/>
    <col min="976" max="976" width="37.42578125" style="6" customWidth="1"/>
    <col min="977" max="979" width="0" style="6" hidden="1" customWidth="1"/>
    <col min="980" max="980" width="15.42578125" style="6" bestFit="1" customWidth="1"/>
    <col min="981" max="981" width="16.140625" style="6" customWidth="1"/>
    <col min="982" max="982" width="14.42578125" style="6" customWidth="1"/>
    <col min="983" max="983" width="13" style="6" customWidth="1"/>
    <col min="984" max="1009" width="12.7109375" style="6" customWidth="1"/>
    <col min="1010" max="1231" width="8.85546875" style="6"/>
    <col min="1232" max="1232" width="37.42578125" style="6" customWidth="1"/>
    <col min="1233" max="1235" width="0" style="6" hidden="1" customWidth="1"/>
    <col min="1236" max="1236" width="15.42578125" style="6" bestFit="1" customWidth="1"/>
    <col min="1237" max="1237" width="16.140625" style="6" customWidth="1"/>
    <col min="1238" max="1238" width="14.42578125" style="6" customWidth="1"/>
    <col min="1239" max="1239" width="13" style="6" customWidth="1"/>
    <col min="1240" max="1265" width="12.7109375" style="6" customWidth="1"/>
    <col min="1266" max="1487" width="8.85546875" style="6"/>
    <col min="1488" max="1488" width="37.42578125" style="6" customWidth="1"/>
    <col min="1489" max="1491" width="0" style="6" hidden="1" customWidth="1"/>
    <col min="1492" max="1492" width="15.42578125" style="6" bestFit="1" customWidth="1"/>
    <col min="1493" max="1493" width="16.140625" style="6" customWidth="1"/>
    <col min="1494" max="1494" width="14.42578125" style="6" customWidth="1"/>
    <col min="1495" max="1495" width="13" style="6" customWidth="1"/>
    <col min="1496" max="1521" width="12.7109375" style="6" customWidth="1"/>
    <col min="1522" max="1743" width="8.85546875" style="6"/>
    <col min="1744" max="1744" width="37.42578125" style="6" customWidth="1"/>
    <col min="1745" max="1747" width="0" style="6" hidden="1" customWidth="1"/>
    <col min="1748" max="1748" width="15.42578125" style="6" bestFit="1" customWidth="1"/>
    <col min="1749" max="1749" width="16.140625" style="6" customWidth="1"/>
    <col min="1750" max="1750" width="14.42578125" style="6" customWidth="1"/>
    <col min="1751" max="1751" width="13" style="6" customWidth="1"/>
    <col min="1752" max="1777" width="12.7109375" style="6" customWidth="1"/>
    <col min="1778" max="1999" width="8.85546875" style="6"/>
    <col min="2000" max="2000" width="37.42578125" style="6" customWidth="1"/>
    <col min="2001" max="2003" width="0" style="6" hidden="1" customWidth="1"/>
    <col min="2004" max="2004" width="15.42578125" style="6" bestFit="1" customWidth="1"/>
    <col min="2005" max="2005" width="16.140625" style="6" customWidth="1"/>
    <col min="2006" max="2006" width="14.42578125" style="6" customWidth="1"/>
    <col min="2007" max="2007" width="13" style="6" customWidth="1"/>
    <col min="2008" max="2033" width="12.7109375" style="6" customWidth="1"/>
    <col min="2034" max="2255" width="8.85546875" style="6"/>
    <col min="2256" max="2256" width="37.42578125" style="6" customWidth="1"/>
    <col min="2257" max="2259" width="0" style="6" hidden="1" customWidth="1"/>
    <col min="2260" max="2260" width="15.42578125" style="6" bestFit="1" customWidth="1"/>
    <col min="2261" max="2261" width="16.140625" style="6" customWidth="1"/>
    <col min="2262" max="2262" width="14.42578125" style="6" customWidth="1"/>
    <col min="2263" max="2263" width="13" style="6" customWidth="1"/>
    <col min="2264" max="2289" width="12.7109375" style="6" customWidth="1"/>
    <col min="2290" max="2511" width="8.85546875" style="6"/>
    <col min="2512" max="2512" width="37.42578125" style="6" customWidth="1"/>
    <col min="2513" max="2515" width="0" style="6" hidden="1" customWidth="1"/>
    <col min="2516" max="2516" width="15.42578125" style="6" bestFit="1" customWidth="1"/>
    <col min="2517" max="2517" width="16.140625" style="6" customWidth="1"/>
    <col min="2518" max="2518" width="14.42578125" style="6" customWidth="1"/>
    <col min="2519" max="2519" width="13" style="6" customWidth="1"/>
    <col min="2520" max="2545" width="12.7109375" style="6" customWidth="1"/>
    <col min="2546" max="2767" width="8.85546875" style="6"/>
    <col min="2768" max="2768" width="37.42578125" style="6" customWidth="1"/>
    <col min="2769" max="2771" width="0" style="6" hidden="1" customWidth="1"/>
    <col min="2772" max="2772" width="15.42578125" style="6" bestFit="1" customWidth="1"/>
    <col min="2773" max="2773" width="16.140625" style="6" customWidth="1"/>
    <col min="2774" max="2774" width="14.42578125" style="6" customWidth="1"/>
    <col min="2775" max="2775" width="13" style="6" customWidth="1"/>
    <col min="2776" max="2801" width="12.7109375" style="6" customWidth="1"/>
    <col min="2802" max="3023" width="8.85546875" style="6"/>
    <col min="3024" max="3024" width="37.42578125" style="6" customWidth="1"/>
    <col min="3025" max="3027" width="0" style="6" hidden="1" customWidth="1"/>
    <col min="3028" max="3028" width="15.42578125" style="6" bestFit="1" customWidth="1"/>
    <col min="3029" max="3029" width="16.140625" style="6" customWidth="1"/>
    <col min="3030" max="3030" width="14.42578125" style="6" customWidth="1"/>
    <col min="3031" max="3031" width="13" style="6" customWidth="1"/>
    <col min="3032" max="3057" width="12.7109375" style="6" customWidth="1"/>
    <col min="3058" max="3279" width="8.85546875" style="6"/>
    <col min="3280" max="3280" width="37.42578125" style="6" customWidth="1"/>
    <col min="3281" max="3283" width="0" style="6" hidden="1" customWidth="1"/>
    <col min="3284" max="3284" width="15.42578125" style="6" bestFit="1" customWidth="1"/>
    <col min="3285" max="3285" width="16.140625" style="6" customWidth="1"/>
    <col min="3286" max="3286" width="14.42578125" style="6" customWidth="1"/>
    <col min="3287" max="3287" width="13" style="6" customWidth="1"/>
    <col min="3288" max="3313" width="12.7109375" style="6" customWidth="1"/>
    <col min="3314" max="3535" width="8.85546875" style="6"/>
    <col min="3536" max="3536" width="37.42578125" style="6" customWidth="1"/>
    <col min="3537" max="3539" width="0" style="6" hidden="1" customWidth="1"/>
    <col min="3540" max="3540" width="15.42578125" style="6" bestFit="1" customWidth="1"/>
    <col min="3541" max="3541" width="16.140625" style="6" customWidth="1"/>
    <col min="3542" max="3542" width="14.42578125" style="6" customWidth="1"/>
    <col min="3543" max="3543" width="13" style="6" customWidth="1"/>
    <col min="3544" max="3569" width="12.7109375" style="6" customWidth="1"/>
    <col min="3570" max="3791" width="8.85546875" style="6"/>
    <col min="3792" max="3792" width="37.42578125" style="6" customWidth="1"/>
    <col min="3793" max="3795" width="0" style="6" hidden="1" customWidth="1"/>
    <col min="3796" max="3796" width="15.42578125" style="6" bestFit="1" customWidth="1"/>
    <col min="3797" max="3797" width="16.140625" style="6" customWidth="1"/>
    <col min="3798" max="3798" width="14.42578125" style="6" customWidth="1"/>
    <col min="3799" max="3799" width="13" style="6" customWidth="1"/>
    <col min="3800" max="3825" width="12.7109375" style="6" customWidth="1"/>
    <col min="3826" max="4047" width="8.85546875" style="6"/>
    <col min="4048" max="4048" width="37.42578125" style="6" customWidth="1"/>
    <col min="4049" max="4051" width="0" style="6" hidden="1" customWidth="1"/>
    <col min="4052" max="4052" width="15.42578125" style="6" bestFit="1" customWidth="1"/>
    <col min="4053" max="4053" width="16.140625" style="6" customWidth="1"/>
    <col min="4054" max="4054" width="14.42578125" style="6" customWidth="1"/>
    <col min="4055" max="4055" width="13" style="6" customWidth="1"/>
    <col min="4056" max="4081" width="12.7109375" style="6" customWidth="1"/>
    <col min="4082" max="4303" width="8.85546875" style="6"/>
    <col min="4304" max="4304" width="37.42578125" style="6" customWidth="1"/>
    <col min="4305" max="4307" width="0" style="6" hidden="1" customWidth="1"/>
    <col min="4308" max="4308" width="15.42578125" style="6" bestFit="1" customWidth="1"/>
    <col min="4309" max="4309" width="16.140625" style="6" customWidth="1"/>
    <col min="4310" max="4310" width="14.42578125" style="6" customWidth="1"/>
    <col min="4311" max="4311" width="13" style="6" customWidth="1"/>
    <col min="4312" max="4337" width="12.7109375" style="6" customWidth="1"/>
    <col min="4338" max="4559" width="8.85546875" style="6"/>
    <col min="4560" max="4560" width="37.42578125" style="6" customWidth="1"/>
    <col min="4561" max="4563" width="0" style="6" hidden="1" customWidth="1"/>
    <col min="4564" max="4564" width="15.42578125" style="6" bestFit="1" customWidth="1"/>
    <col min="4565" max="4565" width="16.140625" style="6" customWidth="1"/>
    <col min="4566" max="4566" width="14.42578125" style="6" customWidth="1"/>
    <col min="4567" max="4567" width="13" style="6" customWidth="1"/>
    <col min="4568" max="4593" width="12.7109375" style="6" customWidth="1"/>
    <col min="4594" max="4815" width="8.85546875" style="6"/>
    <col min="4816" max="4816" width="37.42578125" style="6" customWidth="1"/>
    <col min="4817" max="4819" width="0" style="6" hidden="1" customWidth="1"/>
    <col min="4820" max="4820" width="15.42578125" style="6" bestFit="1" customWidth="1"/>
    <col min="4821" max="4821" width="16.140625" style="6" customWidth="1"/>
    <col min="4822" max="4822" width="14.42578125" style="6" customWidth="1"/>
    <col min="4823" max="4823" width="13" style="6" customWidth="1"/>
    <col min="4824" max="4849" width="12.7109375" style="6" customWidth="1"/>
    <col min="4850" max="5071" width="8.85546875" style="6"/>
    <col min="5072" max="5072" width="37.42578125" style="6" customWidth="1"/>
    <col min="5073" max="5075" width="0" style="6" hidden="1" customWidth="1"/>
    <col min="5076" max="5076" width="15.42578125" style="6" bestFit="1" customWidth="1"/>
    <col min="5077" max="5077" width="16.140625" style="6" customWidth="1"/>
    <col min="5078" max="5078" width="14.42578125" style="6" customWidth="1"/>
    <col min="5079" max="5079" width="13" style="6" customWidth="1"/>
    <col min="5080" max="5105" width="12.7109375" style="6" customWidth="1"/>
    <col min="5106" max="5327" width="8.85546875" style="6"/>
    <col min="5328" max="5328" width="37.42578125" style="6" customWidth="1"/>
    <col min="5329" max="5331" width="0" style="6" hidden="1" customWidth="1"/>
    <col min="5332" max="5332" width="15.42578125" style="6" bestFit="1" customWidth="1"/>
    <col min="5333" max="5333" width="16.140625" style="6" customWidth="1"/>
    <col min="5334" max="5334" width="14.42578125" style="6" customWidth="1"/>
    <col min="5335" max="5335" width="13" style="6" customWidth="1"/>
    <col min="5336" max="5361" width="12.7109375" style="6" customWidth="1"/>
    <col min="5362" max="5583" width="8.85546875" style="6"/>
    <col min="5584" max="5584" width="37.42578125" style="6" customWidth="1"/>
    <col min="5585" max="5587" width="0" style="6" hidden="1" customWidth="1"/>
    <col min="5588" max="5588" width="15.42578125" style="6" bestFit="1" customWidth="1"/>
    <col min="5589" max="5589" width="16.140625" style="6" customWidth="1"/>
    <col min="5590" max="5590" width="14.42578125" style="6" customWidth="1"/>
    <col min="5591" max="5591" width="13" style="6" customWidth="1"/>
    <col min="5592" max="5617" width="12.7109375" style="6" customWidth="1"/>
    <col min="5618" max="5839" width="8.85546875" style="6"/>
    <col min="5840" max="5840" width="37.42578125" style="6" customWidth="1"/>
    <col min="5841" max="5843" width="0" style="6" hidden="1" customWidth="1"/>
    <col min="5844" max="5844" width="15.42578125" style="6" bestFit="1" customWidth="1"/>
    <col min="5845" max="5845" width="16.140625" style="6" customWidth="1"/>
    <col min="5846" max="5846" width="14.42578125" style="6" customWidth="1"/>
    <col min="5847" max="5847" width="13" style="6" customWidth="1"/>
    <col min="5848" max="5873" width="12.7109375" style="6" customWidth="1"/>
    <col min="5874" max="6095" width="8.85546875" style="6"/>
    <col min="6096" max="6096" width="37.42578125" style="6" customWidth="1"/>
    <col min="6097" max="6099" width="0" style="6" hidden="1" customWidth="1"/>
    <col min="6100" max="6100" width="15.42578125" style="6" bestFit="1" customWidth="1"/>
    <col min="6101" max="6101" width="16.140625" style="6" customWidth="1"/>
    <col min="6102" max="6102" width="14.42578125" style="6" customWidth="1"/>
    <col min="6103" max="6103" width="13" style="6" customWidth="1"/>
    <col min="6104" max="6129" width="12.7109375" style="6" customWidth="1"/>
    <col min="6130" max="6351" width="8.85546875" style="6"/>
    <col min="6352" max="6352" width="37.42578125" style="6" customWidth="1"/>
    <col min="6353" max="6355" width="0" style="6" hidden="1" customWidth="1"/>
    <col min="6356" max="6356" width="15.42578125" style="6" bestFit="1" customWidth="1"/>
    <col min="6357" max="6357" width="16.140625" style="6" customWidth="1"/>
    <col min="6358" max="6358" width="14.42578125" style="6" customWidth="1"/>
    <col min="6359" max="6359" width="13" style="6" customWidth="1"/>
    <col min="6360" max="6385" width="12.7109375" style="6" customWidth="1"/>
    <col min="6386" max="6607" width="8.85546875" style="6"/>
    <col min="6608" max="6608" width="37.42578125" style="6" customWidth="1"/>
    <col min="6609" max="6611" width="0" style="6" hidden="1" customWidth="1"/>
    <col min="6612" max="6612" width="15.42578125" style="6" bestFit="1" customWidth="1"/>
    <col min="6613" max="6613" width="16.140625" style="6" customWidth="1"/>
    <col min="6614" max="6614" width="14.42578125" style="6" customWidth="1"/>
    <col min="6615" max="6615" width="13" style="6" customWidth="1"/>
    <col min="6616" max="6641" width="12.7109375" style="6" customWidth="1"/>
    <col min="6642" max="6863" width="8.85546875" style="6"/>
    <col min="6864" max="6864" width="37.42578125" style="6" customWidth="1"/>
    <col min="6865" max="6867" width="0" style="6" hidden="1" customWidth="1"/>
    <col min="6868" max="6868" width="15.42578125" style="6" bestFit="1" customWidth="1"/>
    <col min="6869" max="6869" width="16.140625" style="6" customWidth="1"/>
    <col min="6870" max="6870" width="14.42578125" style="6" customWidth="1"/>
    <col min="6871" max="6871" width="13" style="6" customWidth="1"/>
    <col min="6872" max="6897" width="12.7109375" style="6" customWidth="1"/>
    <col min="6898" max="7119" width="8.85546875" style="6"/>
    <col min="7120" max="7120" width="37.42578125" style="6" customWidth="1"/>
    <col min="7121" max="7123" width="0" style="6" hidden="1" customWidth="1"/>
    <col min="7124" max="7124" width="15.42578125" style="6" bestFit="1" customWidth="1"/>
    <col min="7125" max="7125" width="16.140625" style="6" customWidth="1"/>
    <col min="7126" max="7126" width="14.42578125" style="6" customWidth="1"/>
    <col min="7127" max="7127" width="13" style="6" customWidth="1"/>
    <col min="7128" max="7153" width="12.7109375" style="6" customWidth="1"/>
    <col min="7154" max="7375" width="8.85546875" style="6"/>
    <col min="7376" max="7376" width="37.42578125" style="6" customWidth="1"/>
    <col min="7377" max="7379" width="0" style="6" hidden="1" customWidth="1"/>
    <col min="7380" max="7380" width="15.42578125" style="6" bestFit="1" customWidth="1"/>
    <col min="7381" max="7381" width="16.140625" style="6" customWidth="1"/>
    <col min="7382" max="7382" width="14.42578125" style="6" customWidth="1"/>
    <col min="7383" max="7383" width="13" style="6" customWidth="1"/>
    <col min="7384" max="7409" width="12.7109375" style="6" customWidth="1"/>
    <col min="7410" max="7631" width="8.85546875" style="6"/>
    <col min="7632" max="7632" width="37.42578125" style="6" customWidth="1"/>
    <col min="7633" max="7635" width="0" style="6" hidden="1" customWidth="1"/>
    <col min="7636" max="7636" width="15.42578125" style="6" bestFit="1" customWidth="1"/>
    <col min="7637" max="7637" width="16.140625" style="6" customWidth="1"/>
    <col min="7638" max="7638" width="14.42578125" style="6" customWidth="1"/>
    <col min="7639" max="7639" width="13" style="6" customWidth="1"/>
    <col min="7640" max="7665" width="12.7109375" style="6" customWidth="1"/>
    <col min="7666" max="7887" width="8.85546875" style="6"/>
    <col min="7888" max="7888" width="37.42578125" style="6" customWidth="1"/>
    <col min="7889" max="7891" width="0" style="6" hidden="1" customWidth="1"/>
    <col min="7892" max="7892" width="15.42578125" style="6" bestFit="1" customWidth="1"/>
    <col min="7893" max="7893" width="16.140625" style="6" customWidth="1"/>
    <col min="7894" max="7894" width="14.42578125" style="6" customWidth="1"/>
    <col min="7895" max="7895" width="13" style="6" customWidth="1"/>
    <col min="7896" max="7921" width="12.7109375" style="6" customWidth="1"/>
    <col min="7922" max="8143" width="8.85546875" style="6"/>
    <col min="8144" max="8144" width="37.42578125" style="6" customWidth="1"/>
    <col min="8145" max="8147" width="0" style="6" hidden="1" customWidth="1"/>
    <col min="8148" max="8148" width="15.42578125" style="6" bestFit="1" customWidth="1"/>
    <col min="8149" max="8149" width="16.140625" style="6" customWidth="1"/>
    <col min="8150" max="8150" width="14.42578125" style="6" customWidth="1"/>
    <col min="8151" max="8151" width="13" style="6" customWidth="1"/>
    <col min="8152" max="8177" width="12.7109375" style="6" customWidth="1"/>
    <col min="8178" max="8399" width="8.85546875" style="6"/>
    <col min="8400" max="8400" width="37.42578125" style="6" customWidth="1"/>
    <col min="8401" max="8403" width="0" style="6" hidden="1" customWidth="1"/>
    <col min="8404" max="8404" width="15.42578125" style="6" bestFit="1" customWidth="1"/>
    <col min="8405" max="8405" width="16.140625" style="6" customWidth="1"/>
    <col min="8406" max="8406" width="14.42578125" style="6" customWidth="1"/>
    <col min="8407" max="8407" width="13" style="6" customWidth="1"/>
    <col min="8408" max="8433" width="12.7109375" style="6" customWidth="1"/>
    <col min="8434" max="8655" width="8.85546875" style="6"/>
    <col min="8656" max="8656" width="37.42578125" style="6" customWidth="1"/>
    <col min="8657" max="8659" width="0" style="6" hidden="1" customWidth="1"/>
    <col min="8660" max="8660" width="15.42578125" style="6" bestFit="1" customWidth="1"/>
    <col min="8661" max="8661" width="16.140625" style="6" customWidth="1"/>
    <col min="8662" max="8662" width="14.42578125" style="6" customWidth="1"/>
    <col min="8663" max="8663" width="13" style="6" customWidth="1"/>
    <col min="8664" max="8689" width="12.7109375" style="6" customWidth="1"/>
    <col min="8690" max="8911" width="8.85546875" style="6"/>
    <col min="8912" max="8912" width="37.42578125" style="6" customWidth="1"/>
    <col min="8913" max="8915" width="0" style="6" hidden="1" customWidth="1"/>
    <col min="8916" max="8916" width="15.42578125" style="6" bestFit="1" customWidth="1"/>
    <col min="8917" max="8917" width="16.140625" style="6" customWidth="1"/>
    <col min="8918" max="8918" width="14.42578125" style="6" customWidth="1"/>
    <col min="8919" max="8919" width="13" style="6" customWidth="1"/>
    <col min="8920" max="8945" width="12.7109375" style="6" customWidth="1"/>
    <col min="8946" max="9167" width="8.85546875" style="6"/>
    <col min="9168" max="9168" width="37.42578125" style="6" customWidth="1"/>
    <col min="9169" max="9171" width="0" style="6" hidden="1" customWidth="1"/>
    <col min="9172" max="9172" width="15.42578125" style="6" bestFit="1" customWidth="1"/>
    <col min="9173" max="9173" width="16.140625" style="6" customWidth="1"/>
    <col min="9174" max="9174" width="14.42578125" style="6" customWidth="1"/>
    <col min="9175" max="9175" width="13" style="6" customWidth="1"/>
    <col min="9176" max="9201" width="12.7109375" style="6" customWidth="1"/>
    <col min="9202" max="9423" width="8.85546875" style="6"/>
    <col min="9424" max="9424" width="37.42578125" style="6" customWidth="1"/>
    <col min="9425" max="9427" width="0" style="6" hidden="1" customWidth="1"/>
    <col min="9428" max="9428" width="15.42578125" style="6" bestFit="1" customWidth="1"/>
    <col min="9429" max="9429" width="16.140625" style="6" customWidth="1"/>
    <col min="9430" max="9430" width="14.42578125" style="6" customWidth="1"/>
    <col min="9431" max="9431" width="13" style="6" customWidth="1"/>
    <col min="9432" max="9457" width="12.7109375" style="6" customWidth="1"/>
    <col min="9458" max="9679" width="8.85546875" style="6"/>
    <col min="9680" max="9680" width="37.42578125" style="6" customWidth="1"/>
    <col min="9681" max="9683" width="0" style="6" hidden="1" customWidth="1"/>
    <col min="9684" max="9684" width="15.42578125" style="6" bestFit="1" customWidth="1"/>
    <col min="9685" max="9685" width="16.140625" style="6" customWidth="1"/>
    <col min="9686" max="9686" width="14.42578125" style="6" customWidth="1"/>
    <col min="9687" max="9687" width="13" style="6" customWidth="1"/>
    <col min="9688" max="9713" width="12.7109375" style="6" customWidth="1"/>
    <col min="9714" max="9935" width="8.85546875" style="6"/>
    <col min="9936" max="9936" width="37.42578125" style="6" customWidth="1"/>
    <col min="9937" max="9939" width="0" style="6" hidden="1" customWidth="1"/>
    <col min="9940" max="9940" width="15.42578125" style="6" bestFit="1" customWidth="1"/>
    <col min="9941" max="9941" width="16.140625" style="6" customWidth="1"/>
    <col min="9942" max="9942" width="14.42578125" style="6" customWidth="1"/>
    <col min="9943" max="9943" width="13" style="6" customWidth="1"/>
    <col min="9944" max="9969" width="12.7109375" style="6" customWidth="1"/>
    <col min="9970" max="10191" width="8.85546875" style="6"/>
    <col min="10192" max="10192" width="37.42578125" style="6" customWidth="1"/>
    <col min="10193" max="10195" width="0" style="6" hidden="1" customWidth="1"/>
    <col min="10196" max="10196" width="15.42578125" style="6" bestFit="1" customWidth="1"/>
    <col min="10197" max="10197" width="16.140625" style="6" customWidth="1"/>
    <col min="10198" max="10198" width="14.42578125" style="6" customWidth="1"/>
    <col min="10199" max="10199" width="13" style="6" customWidth="1"/>
    <col min="10200" max="10225" width="12.7109375" style="6" customWidth="1"/>
    <col min="10226" max="10447" width="8.85546875" style="6"/>
    <col min="10448" max="10448" width="37.42578125" style="6" customWidth="1"/>
    <col min="10449" max="10451" width="0" style="6" hidden="1" customWidth="1"/>
    <col min="10452" max="10452" width="15.42578125" style="6" bestFit="1" customWidth="1"/>
    <col min="10453" max="10453" width="16.140625" style="6" customWidth="1"/>
    <col min="10454" max="10454" width="14.42578125" style="6" customWidth="1"/>
    <col min="10455" max="10455" width="13" style="6" customWidth="1"/>
    <col min="10456" max="10481" width="12.7109375" style="6" customWidth="1"/>
    <col min="10482" max="10703" width="8.85546875" style="6"/>
    <col min="10704" max="10704" width="37.42578125" style="6" customWidth="1"/>
    <col min="10705" max="10707" width="0" style="6" hidden="1" customWidth="1"/>
    <col min="10708" max="10708" width="15.42578125" style="6" bestFit="1" customWidth="1"/>
    <col min="10709" max="10709" width="16.140625" style="6" customWidth="1"/>
    <col min="10710" max="10710" width="14.42578125" style="6" customWidth="1"/>
    <col min="10711" max="10711" width="13" style="6" customWidth="1"/>
    <col min="10712" max="10737" width="12.7109375" style="6" customWidth="1"/>
    <col min="10738" max="10959" width="8.85546875" style="6"/>
    <col min="10960" max="10960" width="37.42578125" style="6" customWidth="1"/>
    <col min="10961" max="10963" width="0" style="6" hidden="1" customWidth="1"/>
    <col min="10964" max="10964" width="15.42578125" style="6" bestFit="1" customWidth="1"/>
    <col min="10965" max="10965" width="16.140625" style="6" customWidth="1"/>
    <col min="10966" max="10966" width="14.42578125" style="6" customWidth="1"/>
    <col min="10967" max="10967" width="13" style="6" customWidth="1"/>
    <col min="10968" max="10993" width="12.7109375" style="6" customWidth="1"/>
    <col min="10994" max="11215" width="8.85546875" style="6"/>
    <col min="11216" max="11216" width="37.42578125" style="6" customWidth="1"/>
    <col min="11217" max="11219" width="0" style="6" hidden="1" customWidth="1"/>
    <col min="11220" max="11220" width="15.42578125" style="6" bestFit="1" customWidth="1"/>
    <col min="11221" max="11221" width="16.140625" style="6" customWidth="1"/>
    <col min="11222" max="11222" width="14.42578125" style="6" customWidth="1"/>
    <col min="11223" max="11223" width="13" style="6" customWidth="1"/>
    <col min="11224" max="11249" width="12.7109375" style="6" customWidth="1"/>
    <col min="11250" max="11471" width="8.85546875" style="6"/>
    <col min="11472" max="11472" width="37.42578125" style="6" customWidth="1"/>
    <col min="11473" max="11475" width="0" style="6" hidden="1" customWidth="1"/>
    <col min="11476" max="11476" width="15.42578125" style="6" bestFit="1" customWidth="1"/>
    <col min="11477" max="11477" width="16.140625" style="6" customWidth="1"/>
    <col min="11478" max="11478" width="14.42578125" style="6" customWidth="1"/>
    <col min="11479" max="11479" width="13" style="6" customWidth="1"/>
    <col min="11480" max="11505" width="12.7109375" style="6" customWidth="1"/>
    <col min="11506" max="11727" width="8.85546875" style="6"/>
    <col min="11728" max="11728" width="37.42578125" style="6" customWidth="1"/>
    <col min="11729" max="11731" width="0" style="6" hidden="1" customWidth="1"/>
    <col min="11732" max="11732" width="15.42578125" style="6" bestFit="1" customWidth="1"/>
    <col min="11733" max="11733" width="16.140625" style="6" customWidth="1"/>
    <col min="11734" max="11734" width="14.42578125" style="6" customWidth="1"/>
    <col min="11735" max="11735" width="13" style="6" customWidth="1"/>
    <col min="11736" max="11761" width="12.7109375" style="6" customWidth="1"/>
    <col min="11762" max="11983" width="8.85546875" style="6"/>
    <col min="11984" max="11984" width="37.42578125" style="6" customWidth="1"/>
    <col min="11985" max="11987" width="0" style="6" hidden="1" customWidth="1"/>
    <col min="11988" max="11988" width="15.42578125" style="6" bestFit="1" customWidth="1"/>
    <col min="11989" max="11989" width="16.140625" style="6" customWidth="1"/>
    <col min="11990" max="11990" width="14.42578125" style="6" customWidth="1"/>
    <col min="11991" max="11991" width="13" style="6" customWidth="1"/>
    <col min="11992" max="12017" width="12.7109375" style="6" customWidth="1"/>
    <col min="12018" max="12239" width="8.85546875" style="6"/>
    <col min="12240" max="12240" width="37.42578125" style="6" customWidth="1"/>
    <col min="12241" max="12243" width="0" style="6" hidden="1" customWidth="1"/>
    <col min="12244" max="12244" width="15.42578125" style="6" bestFit="1" customWidth="1"/>
    <col min="12245" max="12245" width="16.140625" style="6" customWidth="1"/>
    <col min="12246" max="12246" width="14.42578125" style="6" customWidth="1"/>
    <col min="12247" max="12247" width="13" style="6" customWidth="1"/>
    <col min="12248" max="12273" width="12.7109375" style="6" customWidth="1"/>
    <col min="12274" max="12495" width="8.85546875" style="6"/>
    <col min="12496" max="12496" width="37.42578125" style="6" customWidth="1"/>
    <col min="12497" max="12499" width="0" style="6" hidden="1" customWidth="1"/>
    <col min="12500" max="12500" width="15.42578125" style="6" bestFit="1" customWidth="1"/>
    <col min="12501" max="12501" width="16.140625" style="6" customWidth="1"/>
    <col min="12502" max="12502" width="14.42578125" style="6" customWidth="1"/>
    <col min="12503" max="12503" width="13" style="6" customWidth="1"/>
    <col min="12504" max="12529" width="12.7109375" style="6" customWidth="1"/>
    <col min="12530" max="12751" width="8.85546875" style="6"/>
    <col min="12752" max="12752" width="37.42578125" style="6" customWidth="1"/>
    <col min="12753" max="12755" width="0" style="6" hidden="1" customWidth="1"/>
    <col min="12756" max="12756" width="15.42578125" style="6" bestFit="1" customWidth="1"/>
    <col min="12757" max="12757" width="16.140625" style="6" customWidth="1"/>
    <col min="12758" max="12758" width="14.42578125" style="6" customWidth="1"/>
    <col min="12759" max="12759" width="13" style="6" customWidth="1"/>
    <col min="12760" max="12785" width="12.7109375" style="6" customWidth="1"/>
    <col min="12786" max="13007" width="8.85546875" style="6"/>
    <col min="13008" max="13008" width="37.42578125" style="6" customWidth="1"/>
    <col min="13009" max="13011" width="0" style="6" hidden="1" customWidth="1"/>
    <col min="13012" max="13012" width="15.42578125" style="6" bestFit="1" customWidth="1"/>
    <col min="13013" max="13013" width="16.140625" style="6" customWidth="1"/>
    <col min="13014" max="13014" width="14.42578125" style="6" customWidth="1"/>
    <col min="13015" max="13015" width="13" style="6" customWidth="1"/>
    <col min="13016" max="13041" width="12.7109375" style="6" customWidth="1"/>
    <col min="13042" max="13263" width="8.85546875" style="6"/>
    <col min="13264" max="13264" width="37.42578125" style="6" customWidth="1"/>
    <col min="13265" max="13267" width="0" style="6" hidden="1" customWidth="1"/>
    <col min="13268" max="13268" width="15.42578125" style="6" bestFit="1" customWidth="1"/>
    <col min="13269" max="13269" width="16.140625" style="6" customWidth="1"/>
    <col min="13270" max="13270" width="14.42578125" style="6" customWidth="1"/>
    <col min="13271" max="13271" width="13" style="6" customWidth="1"/>
    <col min="13272" max="13297" width="12.7109375" style="6" customWidth="1"/>
    <col min="13298" max="13519" width="8.85546875" style="6"/>
    <col min="13520" max="13520" width="37.42578125" style="6" customWidth="1"/>
    <col min="13521" max="13523" width="0" style="6" hidden="1" customWidth="1"/>
    <col min="13524" max="13524" width="15.42578125" style="6" bestFit="1" customWidth="1"/>
    <col min="13525" max="13525" width="16.140625" style="6" customWidth="1"/>
    <col min="13526" max="13526" width="14.42578125" style="6" customWidth="1"/>
    <col min="13527" max="13527" width="13" style="6" customWidth="1"/>
    <col min="13528" max="13553" width="12.7109375" style="6" customWidth="1"/>
    <col min="13554" max="13775" width="8.85546875" style="6"/>
    <col min="13776" max="13776" width="37.42578125" style="6" customWidth="1"/>
    <col min="13777" max="13779" width="0" style="6" hidden="1" customWidth="1"/>
    <col min="13780" max="13780" width="15.42578125" style="6" bestFit="1" customWidth="1"/>
    <col min="13781" max="13781" width="16.140625" style="6" customWidth="1"/>
    <col min="13782" max="13782" width="14.42578125" style="6" customWidth="1"/>
    <col min="13783" max="13783" width="13" style="6" customWidth="1"/>
    <col min="13784" max="13809" width="12.7109375" style="6" customWidth="1"/>
    <col min="13810" max="14031" width="8.85546875" style="6"/>
    <col min="14032" max="14032" width="37.42578125" style="6" customWidth="1"/>
    <col min="14033" max="14035" width="0" style="6" hidden="1" customWidth="1"/>
    <col min="14036" max="14036" width="15.42578125" style="6" bestFit="1" customWidth="1"/>
    <col min="14037" max="14037" width="16.140625" style="6" customWidth="1"/>
    <col min="14038" max="14038" width="14.42578125" style="6" customWidth="1"/>
    <col min="14039" max="14039" width="13" style="6" customWidth="1"/>
    <col min="14040" max="14065" width="12.7109375" style="6" customWidth="1"/>
    <col min="14066" max="14287" width="8.85546875" style="6"/>
    <col min="14288" max="14288" width="37.42578125" style="6" customWidth="1"/>
    <col min="14289" max="14291" width="0" style="6" hidden="1" customWidth="1"/>
    <col min="14292" max="14292" width="15.42578125" style="6" bestFit="1" customWidth="1"/>
    <col min="14293" max="14293" width="16.140625" style="6" customWidth="1"/>
    <col min="14294" max="14294" width="14.42578125" style="6" customWidth="1"/>
    <col min="14295" max="14295" width="13" style="6" customWidth="1"/>
    <col min="14296" max="14321" width="12.7109375" style="6" customWidth="1"/>
    <col min="14322" max="14543" width="8.85546875" style="6"/>
    <col min="14544" max="14544" width="37.42578125" style="6" customWidth="1"/>
    <col min="14545" max="14547" width="0" style="6" hidden="1" customWidth="1"/>
    <col min="14548" max="14548" width="15.42578125" style="6" bestFit="1" customWidth="1"/>
    <col min="14549" max="14549" width="16.140625" style="6" customWidth="1"/>
    <col min="14550" max="14550" width="14.42578125" style="6" customWidth="1"/>
    <col min="14551" max="14551" width="13" style="6" customWidth="1"/>
    <col min="14552" max="14577" width="12.7109375" style="6" customWidth="1"/>
    <col min="14578" max="14799" width="8.85546875" style="6"/>
    <col min="14800" max="14800" width="37.42578125" style="6" customWidth="1"/>
    <col min="14801" max="14803" width="0" style="6" hidden="1" customWidth="1"/>
    <col min="14804" max="14804" width="15.42578125" style="6" bestFit="1" customWidth="1"/>
    <col min="14805" max="14805" width="16.140625" style="6" customWidth="1"/>
    <col min="14806" max="14806" width="14.42578125" style="6" customWidth="1"/>
    <col min="14807" max="14807" width="13" style="6" customWidth="1"/>
    <col min="14808" max="14833" width="12.7109375" style="6" customWidth="1"/>
    <col min="14834" max="15055" width="8.85546875" style="6"/>
    <col min="15056" max="15056" width="37.42578125" style="6" customWidth="1"/>
    <col min="15057" max="15059" width="0" style="6" hidden="1" customWidth="1"/>
    <col min="15060" max="15060" width="15.42578125" style="6" bestFit="1" customWidth="1"/>
    <col min="15061" max="15061" width="16.140625" style="6" customWidth="1"/>
    <col min="15062" max="15062" width="14.42578125" style="6" customWidth="1"/>
    <col min="15063" max="15063" width="13" style="6" customWidth="1"/>
    <col min="15064" max="15089" width="12.7109375" style="6" customWidth="1"/>
    <col min="15090" max="15311" width="8.85546875" style="6"/>
    <col min="15312" max="15312" width="37.42578125" style="6" customWidth="1"/>
    <col min="15313" max="15315" width="0" style="6" hidden="1" customWidth="1"/>
    <col min="15316" max="15316" width="15.42578125" style="6" bestFit="1" customWidth="1"/>
    <col min="15317" max="15317" width="16.140625" style="6" customWidth="1"/>
    <col min="15318" max="15318" width="14.42578125" style="6" customWidth="1"/>
    <col min="15319" max="15319" width="13" style="6" customWidth="1"/>
    <col min="15320" max="15345" width="12.7109375" style="6" customWidth="1"/>
    <col min="15346" max="15567" width="8.85546875" style="6"/>
    <col min="15568" max="15568" width="37.42578125" style="6" customWidth="1"/>
    <col min="15569" max="15571" width="0" style="6" hidden="1" customWidth="1"/>
    <col min="15572" max="15572" width="15.42578125" style="6" bestFit="1" customWidth="1"/>
    <col min="15573" max="15573" width="16.140625" style="6" customWidth="1"/>
    <col min="15574" max="15574" width="14.42578125" style="6" customWidth="1"/>
    <col min="15575" max="15575" width="13" style="6" customWidth="1"/>
    <col min="15576" max="15601" width="12.7109375" style="6" customWidth="1"/>
    <col min="15602" max="15823" width="8.85546875" style="6"/>
    <col min="15824" max="15824" width="37.42578125" style="6" customWidth="1"/>
    <col min="15825" max="15827" width="0" style="6" hidden="1" customWidth="1"/>
    <col min="15828" max="15828" width="15.42578125" style="6" bestFit="1" customWidth="1"/>
    <col min="15829" max="15829" width="16.140625" style="6" customWidth="1"/>
    <col min="15830" max="15830" width="14.42578125" style="6" customWidth="1"/>
    <col min="15831" max="15831" width="13" style="6" customWidth="1"/>
    <col min="15832" max="15857" width="12.7109375" style="6" customWidth="1"/>
    <col min="15858" max="16079" width="8.85546875" style="6"/>
    <col min="16080" max="16080" width="37.42578125" style="6" customWidth="1"/>
    <col min="16081" max="16083" width="0" style="6" hidden="1" customWidth="1"/>
    <col min="16084" max="16084" width="15.42578125" style="6" bestFit="1" customWidth="1"/>
    <col min="16085" max="16085" width="16.140625" style="6" customWidth="1"/>
    <col min="16086" max="16086" width="14.42578125" style="6" customWidth="1"/>
    <col min="16087" max="16087" width="13" style="6" customWidth="1"/>
    <col min="16088" max="16113" width="12.7109375" style="6" customWidth="1"/>
    <col min="16114" max="16384" width="8.85546875" style="6"/>
  </cols>
  <sheetData>
    <row r="2" spans="2:5" ht="14.25" x14ac:dyDescent="0.2">
      <c r="B2" s="2" t="s">
        <v>13</v>
      </c>
    </row>
    <row r="3" spans="2:5" ht="14.25" x14ac:dyDescent="0.2">
      <c r="B3" s="76" t="s">
        <v>191</v>
      </c>
    </row>
    <row r="4" spans="2:5" ht="15" customHeight="1" x14ac:dyDescent="0.2">
      <c r="B4" s="544" t="s">
        <v>199</v>
      </c>
      <c r="C4" s="545"/>
      <c r="D4" s="545"/>
      <c r="E4" s="545"/>
    </row>
    <row r="5" spans="2:5" ht="5.0999999999999996" customHeight="1" thickBot="1" x14ac:dyDescent="0.25"/>
    <row r="6" spans="2:5" s="7" customFormat="1" ht="39.950000000000003" customHeight="1" thickBot="1" x14ac:dyDescent="0.25">
      <c r="B6" s="54" t="s">
        <v>15</v>
      </c>
      <c r="C6" s="55" t="s">
        <v>37</v>
      </c>
      <c r="D6" s="55" t="s">
        <v>80</v>
      </c>
      <c r="E6" s="4"/>
    </row>
    <row r="7" spans="2:5" x14ac:dyDescent="0.2">
      <c r="B7" s="43">
        <v>2014</v>
      </c>
      <c r="C7" s="44">
        <v>0</v>
      </c>
      <c r="D7" s="206">
        <v>0</v>
      </c>
      <c r="E7" s="74"/>
    </row>
    <row r="8" spans="2:5" ht="12.75" customHeight="1" x14ac:dyDescent="0.2">
      <c r="B8" s="43">
        <v>2015</v>
      </c>
      <c r="C8" s="44">
        <v>1</v>
      </c>
      <c r="D8" s="206">
        <v>0</v>
      </c>
      <c r="E8" s="4"/>
    </row>
    <row r="9" spans="2:5" x14ac:dyDescent="0.2">
      <c r="B9" s="43">
        <v>2016</v>
      </c>
      <c r="C9" s="44">
        <v>2</v>
      </c>
      <c r="D9" s="206">
        <v>0</v>
      </c>
      <c r="E9" s="4"/>
    </row>
    <row r="10" spans="2:5" ht="12.75" customHeight="1" x14ac:dyDescent="0.2">
      <c r="B10" s="43">
        <v>2017</v>
      </c>
      <c r="C10" s="44">
        <v>3</v>
      </c>
      <c r="D10" s="206">
        <f>'Land Value Assumptions'!C21</f>
        <v>16741870.25</v>
      </c>
      <c r="E10" s="4"/>
    </row>
    <row r="11" spans="2:5" ht="12.75" customHeight="1" x14ac:dyDescent="0.2">
      <c r="B11" s="43">
        <v>2018</v>
      </c>
      <c r="C11" s="44">
        <v>4</v>
      </c>
      <c r="D11" s="206">
        <v>0</v>
      </c>
      <c r="E11" s="4"/>
    </row>
    <row r="12" spans="2:5" ht="12.75" customHeight="1" x14ac:dyDescent="0.2">
      <c r="B12" s="43">
        <v>2019</v>
      </c>
      <c r="C12" s="44">
        <v>5</v>
      </c>
      <c r="D12" s="206">
        <v>0</v>
      </c>
      <c r="E12" s="4"/>
    </row>
    <row r="13" spans="2:5" ht="12.75" customHeight="1" x14ac:dyDescent="0.2">
      <c r="B13" s="43">
        <v>2020</v>
      </c>
      <c r="C13" s="44">
        <v>6</v>
      </c>
      <c r="D13" s="206">
        <v>0</v>
      </c>
      <c r="E13" s="4"/>
    </row>
    <row r="14" spans="2:5" ht="12.75" customHeight="1" x14ac:dyDescent="0.2">
      <c r="B14" s="43">
        <v>2021</v>
      </c>
      <c r="C14" s="44">
        <v>7</v>
      </c>
      <c r="D14" s="206">
        <v>0</v>
      </c>
      <c r="E14" s="4"/>
    </row>
    <row r="15" spans="2:5" s="5" customFormat="1" ht="12.75" customHeight="1" x14ac:dyDescent="0.2">
      <c r="B15" s="43">
        <v>2022</v>
      </c>
      <c r="C15" s="44">
        <v>8</v>
      </c>
      <c r="D15" s="206">
        <v>0</v>
      </c>
      <c r="E15" s="4"/>
    </row>
    <row r="16" spans="2:5" ht="12.75" customHeight="1" x14ac:dyDescent="0.2">
      <c r="B16" s="43">
        <v>2023</v>
      </c>
      <c r="C16" s="44">
        <v>9</v>
      </c>
      <c r="D16" s="206">
        <v>0</v>
      </c>
      <c r="E16" s="4"/>
    </row>
    <row r="17" spans="2:5" ht="12.75" customHeight="1" x14ac:dyDescent="0.2">
      <c r="B17" s="43">
        <v>2024</v>
      </c>
      <c r="C17" s="44">
        <v>10</v>
      </c>
      <c r="D17" s="206">
        <v>0</v>
      </c>
      <c r="E17" s="4"/>
    </row>
    <row r="18" spans="2:5" ht="12.75" customHeight="1" x14ac:dyDescent="0.2">
      <c r="B18" s="43">
        <v>2025</v>
      </c>
      <c r="C18" s="44">
        <v>11</v>
      </c>
      <c r="D18" s="206">
        <v>0</v>
      </c>
      <c r="E18" s="4"/>
    </row>
    <row r="19" spans="2:5" ht="12.75" customHeight="1" x14ac:dyDescent="0.2">
      <c r="B19" s="43">
        <v>2026</v>
      </c>
      <c r="C19" s="44">
        <v>12</v>
      </c>
      <c r="D19" s="206">
        <v>0</v>
      </c>
      <c r="E19" s="4"/>
    </row>
    <row r="20" spans="2:5" ht="12.75" customHeight="1" x14ac:dyDescent="0.2">
      <c r="B20" s="43">
        <v>2027</v>
      </c>
      <c r="C20" s="44">
        <v>13</v>
      </c>
      <c r="D20" s="206">
        <v>0</v>
      </c>
      <c r="E20" s="4"/>
    </row>
    <row r="21" spans="2:5" ht="12.75" customHeight="1" x14ac:dyDescent="0.2">
      <c r="B21" s="43">
        <v>2028</v>
      </c>
      <c r="C21" s="44">
        <v>14</v>
      </c>
      <c r="D21" s="206">
        <v>0</v>
      </c>
      <c r="E21" s="4"/>
    </row>
    <row r="22" spans="2:5" ht="12.75" customHeight="1" x14ac:dyDescent="0.2">
      <c r="B22" s="43">
        <v>2029</v>
      </c>
      <c r="C22" s="44">
        <v>15</v>
      </c>
      <c r="D22" s="206">
        <v>0</v>
      </c>
      <c r="E22" s="4"/>
    </row>
    <row r="23" spans="2:5" ht="12.75" customHeight="1" x14ac:dyDescent="0.2">
      <c r="B23" s="43">
        <v>2030</v>
      </c>
      <c r="C23" s="44">
        <v>16</v>
      </c>
      <c r="D23" s="206">
        <v>0</v>
      </c>
      <c r="E23" s="4"/>
    </row>
    <row r="24" spans="2:5" ht="12.75" customHeight="1" x14ac:dyDescent="0.2">
      <c r="B24" s="43">
        <v>2031</v>
      </c>
      <c r="C24" s="44">
        <v>17</v>
      </c>
      <c r="D24" s="206">
        <v>0</v>
      </c>
      <c r="E24" s="4"/>
    </row>
    <row r="25" spans="2:5" ht="12.75" customHeight="1" x14ac:dyDescent="0.2">
      <c r="B25" s="43">
        <v>2032</v>
      </c>
      <c r="C25" s="44">
        <v>18</v>
      </c>
      <c r="D25" s="206">
        <v>0</v>
      </c>
      <c r="E25" s="4"/>
    </row>
    <row r="26" spans="2:5" ht="12.75" customHeight="1" x14ac:dyDescent="0.2">
      <c r="B26" s="43">
        <v>2033</v>
      </c>
      <c r="C26" s="44">
        <v>19</v>
      </c>
      <c r="D26" s="206">
        <v>0</v>
      </c>
      <c r="E26" s="4"/>
    </row>
    <row r="27" spans="2:5" ht="12.75" customHeight="1" x14ac:dyDescent="0.2">
      <c r="B27" s="43">
        <v>2034</v>
      </c>
      <c r="C27" s="44">
        <v>20</v>
      </c>
      <c r="D27" s="206">
        <v>0</v>
      </c>
      <c r="E27" s="4"/>
    </row>
    <row r="28" spans="2:5" ht="12.75" customHeight="1" x14ac:dyDescent="0.2">
      <c r="B28" s="43">
        <v>2035</v>
      </c>
      <c r="C28" s="44">
        <v>21</v>
      </c>
      <c r="D28" s="206">
        <v>0</v>
      </c>
      <c r="E28" s="4"/>
    </row>
    <row r="29" spans="2:5" ht="12.75" customHeight="1" x14ac:dyDescent="0.2">
      <c r="B29" s="43">
        <v>2036</v>
      </c>
      <c r="C29" s="44">
        <v>22</v>
      </c>
      <c r="D29" s="206">
        <v>0</v>
      </c>
      <c r="E29" s="4"/>
    </row>
    <row r="30" spans="2:5" ht="12.75" customHeight="1" x14ac:dyDescent="0.2">
      <c r="B30" s="43">
        <v>2037</v>
      </c>
      <c r="C30" s="44">
        <v>23</v>
      </c>
      <c r="D30" s="206">
        <v>0</v>
      </c>
      <c r="E30" s="4"/>
    </row>
    <row r="31" spans="2:5" ht="12.75" customHeight="1" x14ac:dyDescent="0.2">
      <c r="B31" s="43">
        <v>2038</v>
      </c>
      <c r="C31" s="44">
        <v>24</v>
      </c>
      <c r="D31" s="206">
        <v>0</v>
      </c>
      <c r="E31" s="4"/>
    </row>
    <row r="32" spans="2:5" ht="12.75" customHeight="1" x14ac:dyDescent="0.2">
      <c r="B32" s="43">
        <v>2039</v>
      </c>
      <c r="C32" s="44">
        <v>25</v>
      </c>
      <c r="D32" s="206">
        <v>0</v>
      </c>
      <c r="E32" s="4"/>
    </row>
    <row r="33" spans="2:5" ht="12.75" customHeight="1" x14ac:dyDescent="0.2">
      <c r="B33" s="43">
        <v>2040</v>
      </c>
      <c r="C33" s="44">
        <v>26</v>
      </c>
      <c r="D33" s="206">
        <v>0</v>
      </c>
      <c r="E33" s="4"/>
    </row>
    <row r="34" spans="2:5" ht="12.75" customHeight="1" x14ac:dyDescent="0.2">
      <c r="B34" s="43">
        <v>2041</v>
      </c>
      <c r="C34" s="44">
        <v>27</v>
      </c>
      <c r="D34" s="206">
        <v>0</v>
      </c>
      <c r="E34" s="4"/>
    </row>
    <row r="35" spans="2:5" ht="12.75" customHeight="1" x14ac:dyDescent="0.2">
      <c r="B35" s="43">
        <v>2042</v>
      </c>
      <c r="C35" s="44">
        <v>28</v>
      </c>
      <c r="D35" s="206">
        <v>0</v>
      </c>
      <c r="E35" s="4"/>
    </row>
    <row r="36" spans="2:5" ht="12.75" customHeight="1" x14ac:dyDescent="0.2">
      <c r="B36" s="43">
        <v>2043</v>
      </c>
      <c r="C36" s="44">
        <v>29</v>
      </c>
      <c r="D36" s="206">
        <v>0</v>
      </c>
      <c r="E36" s="4"/>
    </row>
    <row r="37" spans="2:5" ht="12.75" customHeight="1" x14ac:dyDescent="0.2">
      <c r="B37" s="43">
        <v>2044</v>
      </c>
      <c r="C37" s="44">
        <v>30</v>
      </c>
      <c r="D37" s="206">
        <v>0</v>
      </c>
      <c r="E37" s="4"/>
    </row>
    <row r="38" spans="2:5" ht="12.75" customHeight="1" x14ac:dyDescent="0.2">
      <c r="B38" s="45">
        <v>2045</v>
      </c>
      <c r="C38" s="46">
        <v>31</v>
      </c>
      <c r="D38" s="203">
        <v>0</v>
      </c>
      <c r="E38" s="4"/>
    </row>
    <row r="39" spans="2:5" ht="12.75" customHeight="1" x14ac:dyDescent="0.2">
      <c r="B39" s="72" t="s">
        <v>6</v>
      </c>
      <c r="C39" s="53" t="str">
        <f>"0-31"</f>
        <v>0-31</v>
      </c>
      <c r="D39" s="210">
        <f>SUM(D7:D38)</f>
        <v>16741870.25</v>
      </c>
      <c r="E39" s="40"/>
    </row>
    <row r="40" spans="2:5" ht="5.0999999999999996" customHeight="1" x14ac:dyDescent="0.2">
      <c r="B40" s="48"/>
      <c r="C40" s="49"/>
      <c r="D40" s="210"/>
    </row>
    <row r="41" spans="2:5" ht="27.95" customHeight="1" x14ac:dyDescent="0.2">
      <c r="B41" s="542" t="s">
        <v>58</v>
      </c>
      <c r="C41" s="543"/>
      <c r="D41" s="210">
        <f>NPV(0.03,D8:D38)+D7</f>
        <v>15321182.921260297</v>
      </c>
    </row>
    <row r="42" spans="2:5" ht="27.95" customHeight="1" x14ac:dyDescent="0.2">
      <c r="B42" s="542" t="s">
        <v>59</v>
      </c>
      <c r="C42" s="543"/>
      <c r="D42" s="210">
        <f>NPV(0.07,D8:D38)+D7</f>
        <v>13666353.140257116</v>
      </c>
    </row>
    <row r="43" spans="2:5" ht="5.0999999999999996" customHeight="1" thickBot="1" x14ac:dyDescent="0.25">
      <c r="B43" s="50"/>
      <c r="C43" s="52"/>
      <c r="D43" s="52"/>
    </row>
    <row r="44" spans="2:5" ht="12.75" customHeight="1" x14ac:dyDescent="0.2"/>
    <row r="45" spans="2:5" ht="12.75" customHeight="1" x14ac:dyDescent="0.2"/>
    <row r="46" spans="2:5" ht="12.75" customHeight="1" x14ac:dyDescent="0.2"/>
    <row r="47" spans="2:5" ht="12.75" customHeight="1" x14ac:dyDescent="0.2"/>
    <row r="48" spans="2:5" ht="12.75" customHeight="1" x14ac:dyDescent="0.2"/>
    <row r="49" ht="12.75" customHeight="1" x14ac:dyDescent="0.2"/>
    <row r="50" s="5" customFormat="1" ht="12.75" customHeight="1" x14ac:dyDescent="0.2"/>
    <row r="51" s="5" customFormat="1" ht="12.75" customHeight="1" x14ac:dyDescent="0.2"/>
    <row r="52" s="5" customFormat="1" ht="12.75" customHeight="1" x14ac:dyDescent="0.2"/>
    <row r="53" s="5" customFormat="1" ht="12.75" customHeight="1" x14ac:dyDescent="0.2"/>
    <row r="54" s="5" customFormat="1" ht="12.75" customHeight="1" x14ac:dyDescent="0.2"/>
    <row r="55" s="5" customFormat="1" ht="12.75" customHeight="1" x14ac:dyDescent="0.2"/>
    <row r="56" s="5" customFormat="1" ht="12.75" customHeight="1" x14ac:dyDescent="0.2"/>
    <row r="57" s="5" customFormat="1" ht="12.75" customHeight="1" x14ac:dyDescent="0.2"/>
    <row r="58" s="5" customFormat="1" ht="12.75" customHeight="1" x14ac:dyDescent="0.2"/>
    <row r="59" s="5" customFormat="1" ht="12.75" customHeight="1" x14ac:dyDescent="0.2"/>
    <row r="60" s="5" customFormat="1" ht="12.75" customHeight="1" x14ac:dyDescent="0.2"/>
    <row r="61" s="8" customFormat="1" ht="12.75" customHeight="1" x14ac:dyDescent="0.2"/>
    <row r="62" s="8" customFormat="1" ht="12.75" customHeight="1" x14ac:dyDescent="0.2"/>
    <row r="63" s="8" customFormat="1" ht="12.75" customHeight="1" x14ac:dyDescent="0.2"/>
    <row r="64" s="5" customFormat="1" x14ac:dyDescent="0.2"/>
    <row r="73" ht="26.25" customHeight="1" x14ac:dyDescent="0.2"/>
  </sheetData>
  <mergeCells count="3">
    <mergeCell ref="B41:C41"/>
    <mergeCell ref="B42:C42"/>
    <mergeCell ref="B4:E4"/>
  </mergeCells>
  <pageMargins left="0.25" right="0.25" top="0.75" bottom="0.75" header="0.3" footer="0.3"/>
  <pageSetup firstPageNumber="15"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2:E73"/>
  <sheetViews>
    <sheetView showGridLines="0" view="pageBreakPreview" zoomScaleSheetLayoutView="100" workbookViewId="0"/>
  </sheetViews>
  <sheetFormatPr defaultColWidth="8.85546875" defaultRowHeight="12.75" x14ac:dyDescent="0.2"/>
  <cols>
    <col min="1" max="1" width="8.85546875" style="6"/>
    <col min="2" max="2" width="6.7109375" style="6" customWidth="1"/>
    <col min="3" max="3" width="9.7109375" style="6" customWidth="1"/>
    <col min="4" max="4" width="14.7109375" style="6" customWidth="1"/>
    <col min="5" max="5" width="15.7109375" style="6" customWidth="1"/>
    <col min="6" max="207" width="8.85546875" style="6"/>
    <col min="208" max="208" width="37.42578125" style="6" customWidth="1"/>
    <col min="209" max="211" width="0" style="6" hidden="1" customWidth="1"/>
    <col min="212" max="212" width="15.42578125" style="6" bestFit="1" customWidth="1"/>
    <col min="213" max="213" width="16.140625" style="6" customWidth="1"/>
    <col min="214" max="214" width="14.42578125" style="6" customWidth="1"/>
    <col min="215" max="215" width="13" style="6" customWidth="1"/>
    <col min="216" max="241" width="12.7109375" style="6" customWidth="1"/>
    <col min="242" max="463" width="8.85546875" style="6"/>
    <col min="464" max="464" width="37.42578125" style="6" customWidth="1"/>
    <col min="465" max="467" width="0" style="6" hidden="1" customWidth="1"/>
    <col min="468" max="468" width="15.42578125" style="6" bestFit="1" customWidth="1"/>
    <col min="469" max="469" width="16.140625" style="6" customWidth="1"/>
    <col min="470" max="470" width="14.42578125" style="6" customWidth="1"/>
    <col min="471" max="471" width="13" style="6" customWidth="1"/>
    <col min="472" max="497" width="12.7109375" style="6" customWidth="1"/>
    <col min="498" max="719" width="8.85546875" style="6"/>
    <col min="720" max="720" width="37.42578125" style="6" customWidth="1"/>
    <col min="721" max="723" width="0" style="6" hidden="1" customWidth="1"/>
    <col min="724" max="724" width="15.42578125" style="6" bestFit="1" customWidth="1"/>
    <col min="725" max="725" width="16.140625" style="6" customWidth="1"/>
    <col min="726" max="726" width="14.42578125" style="6" customWidth="1"/>
    <col min="727" max="727" width="13" style="6" customWidth="1"/>
    <col min="728" max="753" width="12.7109375" style="6" customWidth="1"/>
    <col min="754" max="975" width="8.85546875" style="6"/>
    <col min="976" max="976" width="37.42578125" style="6" customWidth="1"/>
    <col min="977" max="979" width="0" style="6" hidden="1" customWidth="1"/>
    <col min="980" max="980" width="15.42578125" style="6" bestFit="1" customWidth="1"/>
    <col min="981" max="981" width="16.140625" style="6" customWidth="1"/>
    <col min="982" max="982" width="14.42578125" style="6" customWidth="1"/>
    <col min="983" max="983" width="13" style="6" customWidth="1"/>
    <col min="984" max="1009" width="12.7109375" style="6" customWidth="1"/>
    <col min="1010" max="1231" width="8.85546875" style="6"/>
    <col min="1232" max="1232" width="37.42578125" style="6" customWidth="1"/>
    <col min="1233" max="1235" width="0" style="6" hidden="1" customWidth="1"/>
    <col min="1236" max="1236" width="15.42578125" style="6" bestFit="1" customWidth="1"/>
    <col min="1237" max="1237" width="16.140625" style="6" customWidth="1"/>
    <col min="1238" max="1238" width="14.42578125" style="6" customWidth="1"/>
    <col min="1239" max="1239" width="13" style="6" customWidth="1"/>
    <col min="1240" max="1265" width="12.7109375" style="6" customWidth="1"/>
    <col min="1266" max="1487" width="8.85546875" style="6"/>
    <col min="1488" max="1488" width="37.42578125" style="6" customWidth="1"/>
    <col min="1489" max="1491" width="0" style="6" hidden="1" customWidth="1"/>
    <col min="1492" max="1492" width="15.42578125" style="6" bestFit="1" customWidth="1"/>
    <col min="1493" max="1493" width="16.140625" style="6" customWidth="1"/>
    <col min="1494" max="1494" width="14.42578125" style="6" customWidth="1"/>
    <col min="1495" max="1495" width="13" style="6" customWidth="1"/>
    <col min="1496" max="1521" width="12.7109375" style="6" customWidth="1"/>
    <col min="1522" max="1743" width="8.85546875" style="6"/>
    <col min="1744" max="1744" width="37.42578125" style="6" customWidth="1"/>
    <col min="1745" max="1747" width="0" style="6" hidden="1" customWidth="1"/>
    <col min="1748" max="1748" width="15.42578125" style="6" bestFit="1" customWidth="1"/>
    <col min="1749" max="1749" width="16.140625" style="6" customWidth="1"/>
    <col min="1750" max="1750" width="14.42578125" style="6" customWidth="1"/>
    <col min="1751" max="1751" width="13" style="6" customWidth="1"/>
    <col min="1752" max="1777" width="12.7109375" style="6" customWidth="1"/>
    <col min="1778" max="1999" width="8.85546875" style="6"/>
    <col min="2000" max="2000" width="37.42578125" style="6" customWidth="1"/>
    <col min="2001" max="2003" width="0" style="6" hidden="1" customWidth="1"/>
    <col min="2004" max="2004" width="15.42578125" style="6" bestFit="1" customWidth="1"/>
    <col min="2005" max="2005" width="16.140625" style="6" customWidth="1"/>
    <col min="2006" max="2006" width="14.42578125" style="6" customWidth="1"/>
    <col min="2007" max="2007" width="13" style="6" customWidth="1"/>
    <col min="2008" max="2033" width="12.7109375" style="6" customWidth="1"/>
    <col min="2034" max="2255" width="8.85546875" style="6"/>
    <col min="2256" max="2256" width="37.42578125" style="6" customWidth="1"/>
    <col min="2257" max="2259" width="0" style="6" hidden="1" customWidth="1"/>
    <col min="2260" max="2260" width="15.42578125" style="6" bestFit="1" customWidth="1"/>
    <col min="2261" max="2261" width="16.140625" style="6" customWidth="1"/>
    <col min="2262" max="2262" width="14.42578125" style="6" customWidth="1"/>
    <col min="2263" max="2263" width="13" style="6" customWidth="1"/>
    <col min="2264" max="2289" width="12.7109375" style="6" customWidth="1"/>
    <col min="2290" max="2511" width="8.85546875" style="6"/>
    <col min="2512" max="2512" width="37.42578125" style="6" customWidth="1"/>
    <col min="2513" max="2515" width="0" style="6" hidden="1" customWidth="1"/>
    <col min="2516" max="2516" width="15.42578125" style="6" bestFit="1" customWidth="1"/>
    <col min="2517" max="2517" width="16.140625" style="6" customWidth="1"/>
    <col min="2518" max="2518" width="14.42578125" style="6" customWidth="1"/>
    <col min="2519" max="2519" width="13" style="6" customWidth="1"/>
    <col min="2520" max="2545" width="12.7109375" style="6" customWidth="1"/>
    <col min="2546" max="2767" width="8.85546875" style="6"/>
    <col min="2768" max="2768" width="37.42578125" style="6" customWidth="1"/>
    <col min="2769" max="2771" width="0" style="6" hidden="1" customWidth="1"/>
    <col min="2772" max="2772" width="15.42578125" style="6" bestFit="1" customWidth="1"/>
    <col min="2773" max="2773" width="16.140625" style="6" customWidth="1"/>
    <col min="2774" max="2774" width="14.42578125" style="6" customWidth="1"/>
    <col min="2775" max="2775" width="13" style="6" customWidth="1"/>
    <col min="2776" max="2801" width="12.7109375" style="6" customWidth="1"/>
    <col min="2802" max="3023" width="8.85546875" style="6"/>
    <col min="3024" max="3024" width="37.42578125" style="6" customWidth="1"/>
    <col min="3025" max="3027" width="0" style="6" hidden="1" customWidth="1"/>
    <col min="3028" max="3028" width="15.42578125" style="6" bestFit="1" customWidth="1"/>
    <col min="3029" max="3029" width="16.140625" style="6" customWidth="1"/>
    <col min="3030" max="3030" width="14.42578125" style="6" customWidth="1"/>
    <col min="3031" max="3031" width="13" style="6" customWidth="1"/>
    <col min="3032" max="3057" width="12.7109375" style="6" customWidth="1"/>
    <col min="3058" max="3279" width="8.85546875" style="6"/>
    <col min="3280" max="3280" width="37.42578125" style="6" customWidth="1"/>
    <col min="3281" max="3283" width="0" style="6" hidden="1" customWidth="1"/>
    <col min="3284" max="3284" width="15.42578125" style="6" bestFit="1" customWidth="1"/>
    <col min="3285" max="3285" width="16.140625" style="6" customWidth="1"/>
    <col min="3286" max="3286" width="14.42578125" style="6" customWidth="1"/>
    <col min="3287" max="3287" width="13" style="6" customWidth="1"/>
    <col min="3288" max="3313" width="12.7109375" style="6" customWidth="1"/>
    <col min="3314" max="3535" width="8.85546875" style="6"/>
    <col min="3536" max="3536" width="37.42578125" style="6" customWidth="1"/>
    <col min="3537" max="3539" width="0" style="6" hidden="1" customWidth="1"/>
    <col min="3540" max="3540" width="15.42578125" style="6" bestFit="1" customWidth="1"/>
    <col min="3541" max="3541" width="16.140625" style="6" customWidth="1"/>
    <col min="3542" max="3542" width="14.42578125" style="6" customWidth="1"/>
    <col min="3543" max="3543" width="13" style="6" customWidth="1"/>
    <col min="3544" max="3569" width="12.7109375" style="6" customWidth="1"/>
    <col min="3570" max="3791" width="8.85546875" style="6"/>
    <col min="3792" max="3792" width="37.42578125" style="6" customWidth="1"/>
    <col min="3793" max="3795" width="0" style="6" hidden="1" customWidth="1"/>
    <col min="3796" max="3796" width="15.42578125" style="6" bestFit="1" customWidth="1"/>
    <col min="3797" max="3797" width="16.140625" style="6" customWidth="1"/>
    <col min="3798" max="3798" width="14.42578125" style="6" customWidth="1"/>
    <col min="3799" max="3799" width="13" style="6" customWidth="1"/>
    <col min="3800" max="3825" width="12.7109375" style="6" customWidth="1"/>
    <col min="3826" max="4047" width="8.85546875" style="6"/>
    <col min="4048" max="4048" width="37.42578125" style="6" customWidth="1"/>
    <col min="4049" max="4051" width="0" style="6" hidden="1" customWidth="1"/>
    <col min="4052" max="4052" width="15.42578125" style="6" bestFit="1" customWidth="1"/>
    <col min="4053" max="4053" width="16.140625" style="6" customWidth="1"/>
    <col min="4054" max="4054" width="14.42578125" style="6" customWidth="1"/>
    <col min="4055" max="4055" width="13" style="6" customWidth="1"/>
    <col min="4056" max="4081" width="12.7109375" style="6" customWidth="1"/>
    <col min="4082" max="4303" width="8.85546875" style="6"/>
    <col min="4304" max="4304" width="37.42578125" style="6" customWidth="1"/>
    <col min="4305" max="4307" width="0" style="6" hidden="1" customWidth="1"/>
    <col min="4308" max="4308" width="15.42578125" style="6" bestFit="1" customWidth="1"/>
    <col min="4309" max="4309" width="16.140625" style="6" customWidth="1"/>
    <col min="4310" max="4310" width="14.42578125" style="6" customWidth="1"/>
    <col min="4311" max="4311" width="13" style="6" customWidth="1"/>
    <col min="4312" max="4337" width="12.7109375" style="6" customWidth="1"/>
    <col min="4338" max="4559" width="8.85546875" style="6"/>
    <col min="4560" max="4560" width="37.42578125" style="6" customWidth="1"/>
    <col min="4561" max="4563" width="0" style="6" hidden="1" customWidth="1"/>
    <col min="4564" max="4564" width="15.42578125" style="6" bestFit="1" customWidth="1"/>
    <col min="4565" max="4565" width="16.140625" style="6" customWidth="1"/>
    <col min="4566" max="4566" width="14.42578125" style="6" customWidth="1"/>
    <col min="4567" max="4567" width="13" style="6" customWidth="1"/>
    <col min="4568" max="4593" width="12.7109375" style="6" customWidth="1"/>
    <col min="4594" max="4815" width="8.85546875" style="6"/>
    <col min="4816" max="4816" width="37.42578125" style="6" customWidth="1"/>
    <col min="4817" max="4819" width="0" style="6" hidden="1" customWidth="1"/>
    <col min="4820" max="4820" width="15.42578125" style="6" bestFit="1" customWidth="1"/>
    <col min="4821" max="4821" width="16.140625" style="6" customWidth="1"/>
    <col min="4822" max="4822" width="14.42578125" style="6" customWidth="1"/>
    <col min="4823" max="4823" width="13" style="6" customWidth="1"/>
    <col min="4824" max="4849" width="12.7109375" style="6" customWidth="1"/>
    <col min="4850" max="5071" width="8.85546875" style="6"/>
    <col min="5072" max="5072" width="37.42578125" style="6" customWidth="1"/>
    <col min="5073" max="5075" width="0" style="6" hidden="1" customWidth="1"/>
    <col min="5076" max="5076" width="15.42578125" style="6" bestFit="1" customWidth="1"/>
    <col min="5077" max="5077" width="16.140625" style="6" customWidth="1"/>
    <col min="5078" max="5078" width="14.42578125" style="6" customWidth="1"/>
    <col min="5079" max="5079" width="13" style="6" customWidth="1"/>
    <col min="5080" max="5105" width="12.7109375" style="6" customWidth="1"/>
    <col min="5106" max="5327" width="8.85546875" style="6"/>
    <col min="5328" max="5328" width="37.42578125" style="6" customWidth="1"/>
    <col min="5329" max="5331" width="0" style="6" hidden="1" customWidth="1"/>
    <col min="5332" max="5332" width="15.42578125" style="6" bestFit="1" customWidth="1"/>
    <col min="5333" max="5333" width="16.140625" style="6" customWidth="1"/>
    <col min="5334" max="5334" width="14.42578125" style="6" customWidth="1"/>
    <col min="5335" max="5335" width="13" style="6" customWidth="1"/>
    <col min="5336" max="5361" width="12.7109375" style="6" customWidth="1"/>
    <col min="5362" max="5583" width="8.85546875" style="6"/>
    <col min="5584" max="5584" width="37.42578125" style="6" customWidth="1"/>
    <col min="5585" max="5587" width="0" style="6" hidden="1" customWidth="1"/>
    <col min="5588" max="5588" width="15.42578125" style="6" bestFit="1" customWidth="1"/>
    <col min="5589" max="5589" width="16.140625" style="6" customWidth="1"/>
    <col min="5590" max="5590" width="14.42578125" style="6" customWidth="1"/>
    <col min="5591" max="5591" width="13" style="6" customWidth="1"/>
    <col min="5592" max="5617" width="12.7109375" style="6" customWidth="1"/>
    <col min="5618" max="5839" width="8.85546875" style="6"/>
    <col min="5840" max="5840" width="37.42578125" style="6" customWidth="1"/>
    <col min="5841" max="5843" width="0" style="6" hidden="1" customWidth="1"/>
    <col min="5844" max="5844" width="15.42578125" style="6" bestFit="1" customWidth="1"/>
    <col min="5845" max="5845" width="16.140625" style="6" customWidth="1"/>
    <col min="5846" max="5846" width="14.42578125" style="6" customWidth="1"/>
    <col min="5847" max="5847" width="13" style="6" customWidth="1"/>
    <col min="5848" max="5873" width="12.7109375" style="6" customWidth="1"/>
    <col min="5874" max="6095" width="8.85546875" style="6"/>
    <col min="6096" max="6096" width="37.42578125" style="6" customWidth="1"/>
    <col min="6097" max="6099" width="0" style="6" hidden="1" customWidth="1"/>
    <col min="6100" max="6100" width="15.42578125" style="6" bestFit="1" customWidth="1"/>
    <col min="6101" max="6101" width="16.140625" style="6" customWidth="1"/>
    <col min="6102" max="6102" width="14.42578125" style="6" customWidth="1"/>
    <col min="6103" max="6103" width="13" style="6" customWidth="1"/>
    <col min="6104" max="6129" width="12.7109375" style="6" customWidth="1"/>
    <col min="6130" max="6351" width="8.85546875" style="6"/>
    <col min="6352" max="6352" width="37.42578125" style="6" customWidth="1"/>
    <col min="6353" max="6355" width="0" style="6" hidden="1" customWidth="1"/>
    <col min="6356" max="6356" width="15.42578125" style="6" bestFit="1" customWidth="1"/>
    <col min="6357" max="6357" width="16.140625" style="6" customWidth="1"/>
    <col min="6358" max="6358" width="14.42578125" style="6" customWidth="1"/>
    <col min="6359" max="6359" width="13" style="6" customWidth="1"/>
    <col min="6360" max="6385" width="12.7109375" style="6" customWidth="1"/>
    <col min="6386" max="6607" width="8.85546875" style="6"/>
    <col min="6608" max="6608" width="37.42578125" style="6" customWidth="1"/>
    <col min="6609" max="6611" width="0" style="6" hidden="1" customWidth="1"/>
    <col min="6612" max="6612" width="15.42578125" style="6" bestFit="1" customWidth="1"/>
    <col min="6613" max="6613" width="16.140625" style="6" customWidth="1"/>
    <col min="6614" max="6614" width="14.42578125" style="6" customWidth="1"/>
    <col min="6615" max="6615" width="13" style="6" customWidth="1"/>
    <col min="6616" max="6641" width="12.7109375" style="6" customWidth="1"/>
    <col min="6642" max="6863" width="8.85546875" style="6"/>
    <col min="6864" max="6864" width="37.42578125" style="6" customWidth="1"/>
    <col min="6865" max="6867" width="0" style="6" hidden="1" customWidth="1"/>
    <col min="6868" max="6868" width="15.42578125" style="6" bestFit="1" customWidth="1"/>
    <col min="6869" max="6869" width="16.140625" style="6" customWidth="1"/>
    <col min="6870" max="6870" width="14.42578125" style="6" customWidth="1"/>
    <col min="6871" max="6871" width="13" style="6" customWidth="1"/>
    <col min="6872" max="6897" width="12.7109375" style="6" customWidth="1"/>
    <col min="6898" max="7119" width="8.85546875" style="6"/>
    <col min="7120" max="7120" width="37.42578125" style="6" customWidth="1"/>
    <col min="7121" max="7123" width="0" style="6" hidden="1" customWidth="1"/>
    <col min="7124" max="7124" width="15.42578125" style="6" bestFit="1" customWidth="1"/>
    <col min="7125" max="7125" width="16.140625" style="6" customWidth="1"/>
    <col min="7126" max="7126" width="14.42578125" style="6" customWidth="1"/>
    <col min="7127" max="7127" width="13" style="6" customWidth="1"/>
    <col min="7128" max="7153" width="12.7109375" style="6" customWidth="1"/>
    <col min="7154" max="7375" width="8.85546875" style="6"/>
    <col min="7376" max="7376" width="37.42578125" style="6" customWidth="1"/>
    <col min="7377" max="7379" width="0" style="6" hidden="1" customWidth="1"/>
    <col min="7380" max="7380" width="15.42578125" style="6" bestFit="1" customWidth="1"/>
    <col min="7381" max="7381" width="16.140625" style="6" customWidth="1"/>
    <col min="7382" max="7382" width="14.42578125" style="6" customWidth="1"/>
    <col min="7383" max="7383" width="13" style="6" customWidth="1"/>
    <col min="7384" max="7409" width="12.7109375" style="6" customWidth="1"/>
    <col min="7410" max="7631" width="8.85546875" style="6"/>
    <col min="7632" max="7632" width="37.42578125" style="6" customWidth="1"/>
    <col min="7633" max="7635" width="0" style="6" hidden="1" customWidth="1"/>
    <col min="7636" max="7636" width="15.42578125" style="6" bestFit="1" customWidth="1"/>
    <col min="7637" max="7637" width="16.140625" style="6" customWidth="1"/>
    <col min="7638" max="7638" width="14.42578125" style="6" customWidth="1"/>
    <col min="7639" max="7639" width="13" style="6" customWidth="1"/>
    <col min="7640" max="7665" width="12.7109375" style="6" customWidth="1"/>
    <col min="7666" max="7887" width="8.85546875" style="6"/>
    <col min="7888" max="7888" width="37.42578125" style="6" customWidth="1"/>
    <col min="7889" max="7891" width="0" style="6" hidden="1" customWidth="1"/>
    <col min="7892" max="7892" width="15.42578125" style="6" bestFit="1" customWidth="1"/>
    <col min="7893" max="7893" width="16.140625" style="6" customWidth="1"/>
    <col min="7894" max="7894" width="14.42578125" style="6" customWidth="1"/>
    <col min="7895" max="7895" width="13" style="6" customWidth="1"/>
    <col min="7896" max="7921" width="12.7109375" style="6" customWidth="1"/>
    <col min="7922" max="8143" width="8.85546875" style="6"/>
    <col min="8144" max="8144" width="37.42578125" style="6" customWidth="1"/>
    <col min="8145" max="8147" width="0" style="6" hidden="1" customWidth="1"/>
    <col min="8148" max="8148" width="15.42578125" style="6" bestFit="1" customWidth="1"/>
    <col min="8149" max="8149" width="16.140625" style="6" customWidth="1"/>
    <col min="8150" max="8150" width="14.42578125" style="6" customWidth="1"/>
    <col min="8151" max="8151" width="13" style="6" customWidth="1"/>
    <col min="8152" max="8177" width="12.7109375" style="6" customWidth="1"/>
    <col min="8178" max="8399" width="8.85546875" style="6"/>
    <col min="8400" max="8400" width="37.42578125" style="6" customWidth="1"/>
    <col min="8401" max="8403" width="0" style="6" hidden="1" customWidth="1"/>
    <col min="8404" max="8404" width="15.42578125" style="6" bestFit="1" customWidth="1"/>
    <col min="8405" max="8405" width="16.140625" style="6" customWidth="1"/>
    <col min="8406" max="8406" width="14.42578125" style="6" customWidth="1"/>
    <col min="8407" max="8407" width="13" style="6" customWidth="1"/>
    <col min="8408" max="8433" width="12.7109375" style="6" customWidth="1"/>
    <col min="8434" max="8655" width="8.85546875" style="6"/>
    <col min="8656" max="8656" width="37.42578125" style="6" customWidth="1"/>
    <col min="8657" max="8659" width="0" style="6" hidden="1" customWidth="1"/>
    <col min="8660" max="8660" width="15.42578125" style="6" bestFit="1" customWidth="1"/>
    <col min="8661" max="8661" width="16.140625" style="6" customWidth="1"/>
    <col min="8662" max="8662" width="14.42578125" style="6" customWidth="1"/>
    <col min="8663" max="8663" width="13" style="6" customWidth="1"/>
    <col min="8664" max="8689" width="12.7109375" style="6" customWidth="1"/>
    <col min="8690" max="8911" width="8.85546875" style="6"/>
    <col min="8912" max="8912" width="37.42578125" style="6" customWidth="1"/>
    <col min="8913" max="8915" width="0" style="6" hidden="1" customWidth="1"/>
    <col min="8916" max="8916" width="15.42578125" style="6" bestFit="1" customWidth="1"/>
    <col min="8917" max="8917" width="16.140625" style="6" customWidth="1"/>
    <col min="8918" max="8918" width="14.42578125" style="6" customWidth="1"/>
    <col min="8919" max="8919" width="13" style="6" customWidth="1"/>
    <col min="8920" max="8945" width="12.7109375" style="6" customWidth="1"/>
    <col min="8946" max="9167" width="8.85546875" style="6"/>
    <col min="9168" max="9168" width="37.42578125" style="6" customWidth="1"/>
    <col min="9169" max="9171" width="0" style="6" hidden="1" customWidth="1"/>
    <col min="9172" max="9172" width="15.42578125" style="6" bestFit="1" customWidth="1"/>
    <col min="9173" max="9173" width="16.140625" style="6" customWidth="1"/>
    <col min="9174" max="9174" width="14.42578125" style="6" customWidth="1"/>
    <col min="9175" max="9175" width="13" style="6" customWidth="1"/>
    <col min="9176" max="9201" width="12.7109375" style="6" customWidth="1"/>
    <col min="9202" max="9423" width="8.85546875" style="6"/>
    <col min="9424" max="9424" width="37.42578125" style="6" customWidth="1"/>
    <col min="9425" max="9427" width="0" style="6" hidden="1" customWidth="1"/>
    <col min="9428" max="9428" width="15.42578125" style="6" bestFit="1" customWidth="1"/>
    <col min="9429" max="9429" width="16.140625" style="6" customWidth="1"/>
    <col min="9430" max="9430" width="14.42578125" style="6" customWidth="1"/>
    <col min="9431" max="9431" width="13" style="6" customWidth="1"/>
    <col min="9432" max="9457" width="12.7109375" style="6" customWidth="1"/>
    <col min="9458" max="9679" width="8.85546875" style="6"/>
    <col min="9680" max="9680" width="37.42578125" style="6" customWidth="1"/>
    <col min="9681" max="9683" width="0" style="6" hidden="1" customWidth="1"/>
    <col min="9684" max="9684" width="15.42578125" style="6" bestFit="1" customWidth="1"/>
    <col min="9685" max="9685" width="16.140625" style="6" customWidth="1"/>
    <col min="9686" max="9686" width="14.42578125" style="6" customWidth="1"/>
    <col min="9687" max="9687" width="13" style="6" customWidth="1"/>
    <col min="9688" max="9713" width="12.7109375" style="6" customWidth="1"/>
    <col min="9714" max="9935" width="8.85546875" style="6"/>
    <col min="9936" max="9936" width="37.42578125" style="6" customWidth="1"/>
    <col min="9937" max="9939" width="0" style="6" hidden="1" customWidth="1"/>
    <col min="9940" max="9940" width="15.42578125" style="6" bestFit="1" customWidth="1"/>
    <col min="9941" max="9941" width="16.140625" style="6" customWidth="1"/>
    <col min="9942" max="9942" width="14.42578125" style="6" customWidth="1"/>
    <col min="9943" max="9943" width="13" style="6" customWidth="1"/>
    <col min="9944" max="9969" width="12.7109375" style="6" customWidth="1"/>
    <col min="9970" max="10191" width="8.85546875" style="6"/>
    <col min="10192" max="10192" width="37.42578125" style="6" customWidth="1"/>
    <col min="10193" max="10195" width="0" style="6" hidden="1" customWidth="1"/>
    <col min="10196" max="10196" width="15.42578125" style="6" bestFit="1" customWidth="1"/>
    <col min="10197" max="10197" width="16.140625" style="6" customWidth="1"/>
    <col min="10198" max="10198" width="14.42578125" style="6" customWidth="1"/>
    <col min="10199" max="10199" width="13" style="6" customWidth="1"/>
    <col min="10200" max="10225" width="12.7109375" style="6" customWidth="1"/>
    <col min="10226" max="10447" width="8.85546875" style="6"/>
    <col min="10448" max="10448" width="37.42578125" style="6" customWidth="1"/>
    <col min="10449" max="10451" width="0" style="6" hidden="1" customWidth="1"/>
    <col min="10452" max="10452" width="15.42578125" style="6" bestFit="1" customWidth="1"/>
    <col min="10453" max="10453" width="16.140625" style="6" customWidth="1"/>
    <col min="10454" max="10454" width="14.42578125" style="6" customWidth="1"/>
    <col min="10455" max="10455" width="13" style="6" customWidth="1"/>
    <col min="10456" max="10481" width="12.7109375" style="6" customWidth="1"/>
    <col min="10482" max="10703" width="8.85546875" style="6"/>
    <col min="10704" max="10704" width="37.42578125" style="6" customWidth="1"/>
    <col min="10705" max="10707" width="0" style="6" hidden="1" customWidth="1"/>
    <col min="10708" max="10708" width="15.42578125" style="6" bestFit="1" customWidth="1"/>
    <col min="10709" max="10709" width="16.140625" style="6" customWidth="1"/>
    <col min="10710" max="10710" width="14.42578125" style="6" customWidth="1"/>
    <col min="10711" max="10711" width="13" style="6" customWidth="1"/>
    <col min="10712" max="10737" width="12.7109375" style="6" customWidth="1"/>
    <col min="10738" max="10959" width="8.85546875" style="6"/>
    <col min="10960" max="10960" width="37.42578125" style="6" customWidth="1"/>
    <col min="10961" max="10963" width="0" style="6" hidden="1" customWidth="1"/>
    <col min="10964" max="10964" width="15.42578125" style="6" bestFit="1" customWidth="1"/>
    <col min="10965" max="10965" width="16.140625" style="6" customWidth="1"/>
    <col min="10966" max="10966" width="14.42578125" style="6" customWidth="1"/>
    <col min="10967" max="10967" width="13" style="6" customWidth="1"/>
    <col min="10968" max="10993" width="12.7109375" style="6" customWidth="1"/>
    <col min="10994" max="11215" width="8.85546875" style="6"/>
    <col min="11216" max="11216" width="37.42578125" style="6" customWidth="1"/>
    <col min="11217" max="11219" width="0" style="6" hidden="1" customWidth="1"/>
    <col min="11220" max="11220" width="15.42578125" style="6" bestFit="1" customWidth="1"/>
    <col min="11221" max="11221" width="16.140625" style="6" customWidth="1"/>
    <col min="11222" max="11222" width="14.42578125" style="6" customWidth="1"/>
    <col min="11223" max="11223" width="13" style="6" customWidth="1"/>
    <col min="11224" max="11249" width="12.7109375" style="6" customWidth="1"/>
    <col min="11250" max="11471" width="8.85546875" style="6"/>
    <col min="11472" max="11472" width="37.42578125" style="6" customWidth="1"/>
    <col min="11473" max="11475" width="0" style="6" hidden="1" customWidth="1"/>
    <col min="11476" max="11476" width="15.42578125" style="6" bestFit="1" customWidth="1"/>
    <col min="11477" max="11477" width="16.140625" style="6" customWidth="1"/>
    <col min="11478" max="11478" width="14.42578125" style="6" customWidth="1"/>
    <col min="11479" max="11479" width="13" style="6" customWidth="1"/>
    <col min="11480" max="11505" width="12.7109375" style="6" customWidth="1"/>
    <col min="11506" max="11727" width="8.85546875" style="6"/>
    <col min="11728" max="11728" width="37.42578125" style="6" customWidth="1"/>
    <col min="11729" max="11731" width="0" style="6" hidden="1" customWidth="1"/>
    <col min="11732" max="11732" width="15.42578125" style="6" bestFit="1" customWidth="1"/>
    <col min="11733" max="11733" width="16.140625" style="6" customWidth="1"/>
    <col min="11734" max="11734" width="14.42578125" style="6" customWidth="1"/>
    <col min="11735" max="11735" width="13" style="6" customWidth="1"/>
    <col min="11736" max="11761" width="12.7109375" style="6" customWidth="1"/>
    <col min="11762" max="11983" width="8.85546875" style="6"/>
    <col min="11984" max="11984" width="37.42578125" style="6" customWidth="1"/>
    <col min="11985" max="11987" width="0" style="6" hidden="1" customWidth="1"/>
    <col min="11988" max="11988" width="15.42578125" style="6" bestFit="1" customWidth="1"/>
    <col min="11989" max="11989" width="16.140625" style="6" customWidth="1"/>
    <col min="11990" max="11990" width="14.42578125" style="6" customWidth="1"/>
    <col min="11991" max="11991" width="13" style="6" customWidth="1"/>
    <col min="11992" max="12017" width="12.7109375" style="6" customWidth="1"/>
    <col min="12018" max="12239" width="8.85546875" style="6"/>
    <col min="12240" max="12240" width="37.42578125" style="6" customWidth="1"/>
    <col min="12241" max="12243" width="0" style="6" hidden="1" customWidth="1"/>
    <col min="12244" max="12244" width="15.42578125" style="6" bestFit="1" customWidth="1"/>
    <col min="12245" max="12245" width="16.140625" style="6" customWidth="1"/>
    <col min="12246" max="12246" width="14.42578125" style="6" customWidth="1"/>
    <col min="12247" max="12247" width="13" style="6" customWidth="1"/>
    <col min="12248" max="12273" width="12.7109375" style="6" customWidth="1"/>
    <col min="12274" max="12495" width="8.85546875" style="6"/>
    <col min="12496" max="12496" width="37.42578125" style="6" customWidth="1"/>
    <col min="12497" max="12499" width="0" style="6" hidden="1" customWidth="1"/>
    <col min="12500" max="12500" width="15.42578125" style="6" bestFit="1" customWidth="1"/>
    <col min="12501" max="12501" width="16.140625" style="6" customWidth="1"/>
    <col min="12502" max="12502" width="14.42578125" style="6" customWidth="1"/>
    <col min="12503" max="12503" width="13" style="6" customWidth="1"/>
    <col min="12504" max="12529" width="12.7109375" style="6" customWidth="1"/>
    <col min="12530" max="12751" width="8.85546875" style="6"/>
    <col min="12752" max="12752" width="37.42578125" style="6" customWidth="1"/>
    <col min="12753" max="12755" width="0" style="6" hidden="1" customWidth="1"/>
    <col min="12756" max="12756" width="15.42578125" style="6" bestFit="1" customWidth="1"/>
    <col min="12757" max="12757" width="16.140625" style="6" customWidth="1"/>
    <col min="12758" max="12758" width="14.42578125" style="6" customWidth="1"/>
    <col min="12759" max="12759" width="13" style="6" customWidth="1"/>
    <col min="12760" max="12785" width="12.7109375" style="6" customWidth="1"/>
    <col min="12786" max="13007" width="8.85546875" style="6"/>
    <col min="13008" max="13008" width="37.42578125" style="6" customWidth="1"/>
    <col min="13009" max="13011" width="0" style="6" hidden="1" customWidth="1"/>
    <col min="13012" max="13012" width="15.42578125" style="6" bestFit="1" customWidth="1"/>
    <col min="13013" max="13013" width="16.140625" style="6" customWidth="1"/>
    <col min="13014" max="13014" width="14.42578125" style="6" customWidth="1"/>
    <col min="13015" max="13015" width="13" style="6" customWidth="1"/>
    <col min="13016" max="13041" width="12.7109375" style="6" customWidth="1"/>
    <col min="13042" max="13263" width="8.85546875" style="6"/>
    <col min="13264" max="13264" width="37.42578125" style="6" customWidth="1"/>
    <col min="13265" max="13267" width="0" style="6" hidden="1" customWidth="1"/>
    <col min="13268" max="13268" width="15.42578125" style="6" bestFit="1" customWidth="1"/>
    <col min="13269" max="13269" width="16.140625" style="6" customWidth="1"/>
    <col min="13270" max="13270" width="14.42578125" style="6" customWidth="1"/>
    <col min="13271" max="13271" width="13" style="6" customWidth="1"/>
    <col min="13272" max="13297" width="12.7109375" style="6" customWidth="1"/>
    <col min="13298" max="13519" width="8.85546875" style="6"/>
    <col min="13520" max="13520" width="37.42578125" style="6" customWidth="1"/>
    <col min="13521" max="13523" width="0" style="6" hidden="1" customWidth="1"/>
    <col min="13524" max="13524" width="15.42578125" style="6" bestFit="1" customWidth="1"/>
    <col min="13525" max="13525" width="16.140625" style="6" customWidth="1"/>
    <col min="13526" max="13526" width="14.42578125" style="6" customWidth="1"/>
    <col min="13527" max="13527" width="13" style="6" customWidth="1"/>
    <col min="13528" max="13553" width="12.7109375" style="6" customWidth="1"/>
    <col min="13554" max="13775" width="8.85546875" style="6"/>
    <col min="13776" max="13776" width="37.42578125" style="6" customWidth="1"/>
    <col min="13777" max="13779" width="0" style="6" hidden="1" customWidth="1"/>
    <col min="13780" max="13780" width="15.42578125" style="6" bestFit="1" customWidth="1"/>
    <col min="13781" max="13781" width="16.140625" style="6" customWidth="1"/>
    <col min="13782" max="13782" width="14.42578125" style="6" customWidth="1"/>
    <col min="13783" max="13783" width="13" style="6" customWidth="1"/>
    <col min="13784" max="13809" width="12.7109375" style="6" customWidth="1"/>
    <col min="13810" max="14031" width="8.85546875" style="6"/>
    <col min="14032" max="14032" width="37.42578125" style="6" customWidth="1"/>
    <col min="14033" max="14035" width="0" style="6" hidden="1" customWidth="1"/>
    <col min="14036" max="14036" width="15.42578125" style="6" bestFit="1" customWidth="1"/>
    <col min="14037" max="14037" width="16.140625" style="6" customWidth="1"/>
    <col min="14038" max="14038" width="14.42578125" style="6" customWidth="1"/>
    <col min="14039" max="14039" width="13" style="6" customWidth="1"/>
    <col min="14040" max="14065" width="12.7109375" style="6" customWidth="1"/>
    <col min="14066" max="14287" width="8.85546875" style="6"/>
    <col min="14288" max="14288" width="37.42578125" style="6" customWidth="1"/>
    <col min="14289" max="14291" width="0" style="6" hidden="1" customWidth="1"/>
    <col min="14292" max="14292" width="15.42578125" style="6" bestFit="1" customWidth="1"/>
    <col min="14293" max="14293" width="16.140625" style="6" customWidth="1"/>
    <col min="14294" max="14294" width="14.42578125" style="6" customWidth="1"/>
    <col min="14295" max="14295" width="13" style="6" customWidth="1"/>
    <col min="14296" max="14321" width="12.7109375" style="6" customWidth="1"/>
    <col min="14322" max="14543" width="8.85546875" style="6"/>
    <col min="14544" max="14544" width="37.42578125" style="6" customWidth="1"/>
    <col min="14545" max="14547" width="0" style="6" hidden="1" customWidth="1"/>
    <col min="14548" max="14548" width="15.42578125" style="6" bestFit="1" customWidth="1"/>
    <col min="14549" max="14549" width="16.140625" style="6" customWidth="1"/>
    <col min="14550" max="14550" width="14.42578125" style="6" customWidth="1"/>
    <col min="14551" max="14551" width="13" style="6" customWidth="1"/>
    <col min="14552" max="14577" width="12.7109375" style="6" customWidth="1"/>
    <col min="14578" max="14799" width="8.85546875" style="6"/>
    <col min="14800" max="14800" width="37.42578125" style="6" customWidth="1"/>
    <col min="14801" max="14803" width="0" style="6" hidden="1" customWidth="1"/>
    <col min="14804" max="14804" width="15.42578125" style="6" bestFit="1" customWidth="1"/>
    <col min="14805" max="14805" width="16.140625" style="6" customWidth="1"/>
    <col min="14806" max="14806" width="14.42578125" style="6" customWidth="1"/>
    <col min="14807" max="14807" width="13" style="6" customWidth="1"/>
    <col min="14808" max="14833" width="12.7109375" style="6" customWidth="1"/>
    <col min="14834" max="15055" width="8.85546875" style="6"/>
    <col min="15056" max="15056" width="37.42578125" style="6" customWidth="1"/>
    <col min="15057" max="15059" width="0" style="6" hidden="1" customWidth="1"/>
    <col min="15060" max="15060" width="15.42578125" style="6" bestFit="1" customWidth="1"/>
    <col min="15061" max="15061" width="16.140625" style="6" customWidth="1"/>
    <col min="15062" max="15062" width="14.42578125" style="6" customWidth="1"/>
    <col min="15063" max="15063" width="13" style="6" customWidth="1"/>
    <col min="15064" max="15089" width="12.7109375" style="6" customWidth="1"/>
    <col min="15090" max="15311" width="8.85546875" style="6"/>
    <col min="15312" max="15312" width="37.42578125" style="6" customWidth="1"/>
    <col min="15313" max="15315" width="0" style="6" hidden="1" customWidth="1"/>
    <col min="15316" max="15316" width="15.42578125" style="6" bestFit="1" customWidth="1"/>
    <col min="15317" max="15317" width="16.140625" style="6" customWidth="1"/>
    <col min="15318" max="15318" width="14.42578125" style="6" customWidth="1"/>
    <col min="15319" max="15319" width="13" style="6" customWidth="1"/>
    <col min="15320" max="15345" width="12.7109375" style="6" customWidth="1"/>
    <col min="15346" max="15567" width="8.85546875" style="6"/>
    <col min="15568" max="15568" width="37.42578125" style="6" customWidth="1"/>
    <col min="15569" max="15571" width="0" style="6" hidden="1" customWidth="1"/>
    <col min="15572" max="15572" width="15.42578125" style="6" bestFit="1" customWidth="1"/>
    <col min="15573" max="15573" width="16.140625" style="6" customWidth="1"/>
    <col min="15574" max="15574" width="14.42578125" style="6" customWidth="1"/>
    <col min="15575" max="15575" width="13" style="6" customWidth="1"/>
    <col min="15576" max="15601" width="12.7109375" style="6" customWidth="1"/>
    <col min="15602" max="15823" width="8.85546875" style="6"/>
    <col min="15824" max="15824" width="37.42578125" style="6" customWidth="1"/>
    <col min="15825" max="15827" width="0" style="6" hidden="1" customWidth="1"/>
    <col min="15828" max="15828" width="15.42578125" style="6" bestFit="1" customWidth="1"/>
    <col min="15829" max="15829" width="16.140625" style="6" customWidth="1"/>
    <col min="15830" max="15830" width="14.42578125" style="6" customWidth="1"/>
    <col min="15831" max="15831" width="13" style="6" customWidth="1"/>
    <col min="15832" max="15857" width="12.7109375" style="6" customWidth="1"/>
    <col min="15858" max="16079" width="8.85546875" style="6"/>
    <col min="16080" max="16080" width="37.42578125" style="6" customWidth="1"/>
    <col min="16081" max="16083" width="0" style="6" hidden="1" customWidth="1"/>
    <col min="16084" max="16084" width="15.42578125" style="6" bestFit="1" customWidth="1"/>
    <col min="16085" max="16085" width="16.140625" style="6" customWidth="1"/>
    <col min="16086" max="16086" width="14.42578125" style="6" customWidth="1"/>
    <col min="16087" max="16087" width="13" style="6" customWidth="1"/>
    <col min="16088" max="16113" width="12.7109375" style="6" customWidth="1"/>
    <col min="16114" max="16384" width="8.85546875" style="6"/>
  </cols>
  <sheetData>
    <row r="2" spans="2:5" ht="14.25" x14ac:dyDescent="0.2">
      <c r="B2" s="2" t="s">
        <v>13</v>
      </c>
    </row>
    <row r="3" spans="2:5" ht="14.25" x14ac:dyDescent="0.2">
      <c r="B3" s="76" t="s">
        <v>191</v>
      </c>
    </row>
    <row r="4" spans="2:5" ht="15" customHeight="1" x14ac:dyDescent="0.2">
      <c r="B4" s="544" t="s">
        <v>200</v>
      </c>
      <c r="C4" s="544"/>
      <c r="D4" s="544"/>
      <c r="E4" s="544"/>
    </row>
    <row r="5" spans="2:5" ht="5.0999999999999996" customHeight="1" thickBot="1" x14ac:dyDescent="0.25"/>
    <row r="6" spans="2:5" s="7" customFormat="1" ht="39.950000000000003" customHeight="1" thickBot="1" x14ac:dyDescent="0.25">
      <c r="B6" s="54" t="s">
        <v>15</v>
      </c>
      <c r="C6" s="55" t="s">
        <v>37</v>
      </c>
      <c r="D6" s="205" t="s">
        <v>80</v>
      </c>
      <c r="E6" s="4"/>
    </row>
    <row r="7" spans="2:5" x14ac:dyDescent="0.2">
      <c r="B7" s="43">
        <v>2014</v>
      </c>
      <c r="C7" s="44">
        <v>0</v>
      </c>
      <c r="D7" s="206">
        <v>0</v>
      </c>
      <c r="E7" s="74"/>
    </row>
    <row r="8" spans="2:5" ht="12.75" customHeight="1" x14ac:dyDescent="0.2">
      <c r="B8" s="43">
        <v>2015</v>
      </c>
      <c r="C8" s="44">
        <v>1</v>
      </c>
      <c r="D8" s="206">
        <v>0</v>
      </c>
      <c r="E8" s="4"/>
    </row>
    <row r="9" spans="2:5" x14ac:dyDescent="0.2">
      <c r="B9" s="43">
        <v>2016</v>
      </c>
      <c r="C9" s="44">
        <v>2</v>
      </c>
      <c r="D9" s="206">
        <v>0</v>
      </c>
      <c r="E9" s="4"/>
    </row>
    <row r="10" spans="2:5" ht="12.75" customHeight="1" x14ac:dyDescent="0.2">
      <c r="B10" s="43">
        <v>2017</v>
      </c>
      <c r="C10" s="44">
        <v>3</v>
      </c>
      <c r="D10" s="206">
        <f>'Land Value Assumptions'!C16</f>
        <v>8037000</v>
      </c>
      <c r="E10" s="4"/>
    </row>
    <row r="11" spans="2:5" ht="12.75" customHeight="1" x14ac:dyDescent="0.2">
      <c r="B11" s="43">
        <v>2018</v>
      </c>
      <c r="C11" s="44">
        <v>4</v>
      </c>
      <c r="D11" s="206">
        <v>0</v>
      </c>
      <c r="E11" s="4"/>
    </row>
    <row r="12" spans="2:5" ht="12.75" customHeight="1" x14ac:dyDescent="0.2">
      <c r="B12" s="43">
        <v>2019</v>
      </c>
      <c r="C12" s="44">
        <v>5</v>
      </c>
      <c r="D12" s="206">
        <v>0</v>
      </c>
      <c r="E12" s="4"/>
    </row>
    <row r="13" spans="2:5" ht="12.75" customHeight="1" x14ac:dyDescent="0.2">
      <c r="B13" s="43">
        <v>2020</v>
      </c>
      <c r="C13" s="44">
        <v>6</v>
      </c>
      <c r="D13" s="206">
        <v>0</v>
      </c>
      <c r="E13" s="4"/>
    </row>
    <row r="14" spans="2:5" ht="12.75" customHeight="1" x14ac:dyDescent="0.2">
      <c r="B14" s="43">
        <v>2021</v>
      </c>
      <c r="C14" s="44">
        <v>7</v>
      </c>
      <c r="D14" s="206">
        <v>0</v>
      </c>
      <c r="E14" s="4"/>
    </row>
    <row r="15" spans="2:5" s="5" customFormat="1" ht="12.75" customHeight="1" x14ac:dyDescent="0.2">
      <c r="B15" s="43">
        <v>2022</v>
      </c>
      <c r="C15" s="44">
        <v>8</v>
      </c>
      <c r="D15" s="206">
        <v>0</v>
      </c>
      <c r="E15" s="4"/>
    </row>
    <row r="16" spans="2:5" ht="12.75" customHeight="1" x14ac:dyDescent="0.2">
      <c r="B16" s="43">
        <v>2023</v>
      </c>
      <c r="C16" s="44">
        <v>9</v>
      </c>
      <c r="D16" s="206">
        <v>0</v>
      </c>
      <c r="E16" s="4"/>
    </row>
    <row r="17" spans="2:5" ht="12.75" customHeight="1" x14ac:dyDescent="0.2">
      <c r="B17" s="43">
        <v>2024</v>
      </c>
      <c r="C17" s="44">
        <v>10</v>
      </c>
      <c r="D17" s="206">
        <v>0</v>
      </c>
      <c r="E17" s="4"/>
    </row>
    <row r="18" spans="2:5" ht="12.75" customHeight="1" x14ac:dyDescent="0.2">
      <c r="B18" s="43">
        <v>2025</v>
      </c>
      <c r="C18" s="44">
        <v>11</v>
      </c>
      <c r="D18" s="206">
        <v>0</v>
      </c>
      <c r="E18" s="4"/>
    </row>
    <row r="19" spans="2:5" ht="12.75" customHeight="1" x14ac:dyDescent="0.2">
      <c r="B19" s="43">
        <v>2026</v>
      </c>
      <c r="C19" s="44">
        <v>12</v>
      </c>
      <c r="D19" s="206">
        <v>0</v>
      </c>
      <c r="E19" s="4"/>
    </row>
    <row r="20" spans="2:5" ht="12.75" customHeight="1" x14ac:dyDescent="0.2">
      <c r="B20" s="43">
        <v>2027</v>
      </c>
      <c r="C20" s="44">
        <v>13</v>
      </c>
      <c r="D20" s="206">
        <v>0</v>
      </c>
      <c r="E20" s="4"/>
    </row>
    <row r="21" spans="2:5" ht="12.75" customHeight="1" x14ac:dyDescent="0.2">
      <c r="B21" s="43">
        <v>2028</v>
      </c>
      <c r="C21" s="44">
        <v>14</v>
      </c>
      <c r="D21" s="206">
        <v>0</v>
      </c>
      <c r="E21" s="4"/>
    </row>
    <row r="22" spans="2:5" ht="12.75" customHeight="1" x14ac:dyDescent="0.2">
      <c r="B22" s="43">
        <v>2029</v>
      </c>
      <c r="C22" s="44">
        <v>15</v>
      </c>
      <c r="D22" s="206">
        <v>0</v>
      </c>
      <c r="E22" s="4"/>
    </row>
    <row r="23" spans="2:5" ht="12.75" customHeight="1" x14ac:dyDescent="0.2">
      <c r="B23" s="43">
        <v>2030</v>
      </c>
      <c r="C23" s="44">
        <v>16</v>
      </c>
      <c r="D23" s="206">
        <v>0</v>
      </c>
      <c r="E23" s="4"/>
    </row>
    <row r="24" spans="2:5" ht="12.75" customHeight="1" x14ac:dyDescent="0.2">
      <c r="B24" s="43">
        <v>2031</v>
      </c>
      <c r="C24" s="44">
        <v>17</v>
      </c>
      <c r="D24" s="206">
        <v>0</v>
      </c>
      <c r="E24" s="4"/>
    </row>
    <row r="25" spans="2:5" ht="12.75" customHeight="1" x14ac:dyDescent="0.2">
      <c r="B25" s="43">
        <v>2032</v>
      </c>
      <c r="C25" s="44">
        <v>18</v>
      </c>
      <c r="D25" s="206">
        <v>0</v>
      </c>
      <c r="E25" s="4"/>
    </row>
    <row r="26" spans="2:5" ht="12.75" customHeight="1" x14ac:dyDescent="0.2">
      <c r="B26" s="43">
        <v>2033</v>
      </c>
      <c r="C26" s="44">
        <v>19</v>
      </c>
      <c r="D26" s="206">
        <v>0</v>
      </c>
      <c r="E26" s="4"/>
    </row>
    <row r="27" spans="2:5" ht="12.75" customHeight="1" x14ac:dyDescent="0.2">
      <c r="B27" s="43">
        <v>2034</v>
      </c>
      <c r="C27" s="44">
        <v>20</v>
      </c>
      <c r="D27" s="206">
        <v>0</v>
      </c>
      <c r="E27" s="4"/>
    </row>
    <row r="28" spans="2:5" ht="12.75" customHeight="1" x14ac:dyDescent="0.2">
      <c r="B28" s="43">
        <v>2035</v>
      </c>
      <c r="C28" s="44">
        <v>21</v>
      </c>
      <c r="D28" s="206">
        <v>0</v>
      </c>
      <c r="E28" s="4"/>
    </row>
    <row r="29" spans="2:5" ht="12.75" customHeight="1" x14ac:dyDescent="0.2">
      <c r="B29" s="43">
        <v>2036</v>
      </c>
      <c r="C29" s="44">
        <v>22</v>
      </c>
      <c r="D29" s="206">
        <v>0</v>
      </c>
      <c r="E29" s="4"/>
    </row>
    <row r="30" spans="2:5" ht="12.75" customHeight="1" x14ac:dyDescent="0.2">
      <c r="B30" s="43">
        <v>2037</v>
      </c>
      <c r="C30" s="44">
        <v>23</v>
      </c>
      <c r="D30" s="206">
        <v>0</v>
      </c>
      <c r="E30" s="4"/>
    </row>
    <row r="31" spans="2:5" ht="12.75" customHeight="1" x14ac:dyDescent="0.2">
      <c r="B31" s="43">
        <v>2038</v>
      </c>
      <c r="C31" s="44">
        <v>24</v>
      </c>
      <c r="D31" s="206">
        <v>0</v>
      </c>
      <c r="E31" s="4"/>
    </row>
    <row r="32" spans="2:5" ht="12.75" customHeight="1" x14ac:dyDescent="0.2">
      <c r="B32" s="43">
        <v>2039</v>
      </c>
      <c r="C32" s="44">
        <v>25</v>
      </c>
      <c r="D32" s="206">
        <v>0</v>
      </c>
      <c r="E32" s="4"/>
    </row>
    <row r="33" spans="2:5" ht="12.75" customHeight="1" x14ac:dyDescent="0.2">
      <c r="B33" s="43">
        <v>2040</v>
      </c>
      <c r="C33" s="44">
        <v>26</v>
      </c>
      <c r="D33" s="206">
        <v>0</v>
      </c>
      <c r="E33" s="4"/>
    </row>
    <row r="34" spans="2:5" ht="12.75" customHeight="1" x14ac:dyDescent="0.2">
      <c r="B34" s="43">
        <v>2041</v>
      </c>
      <c r="C34" s="44">
        <v>27</v>
      </c>
      <c r="D34" s="206">
        <v>0</v>
      </c>
      <c r="E34" s="4"/>
    </row>
    <row r="35" spans="2:5" ht="12.75" customHeight="1" x14ac:dyDescent="0.2">
      <c r="B35" s="43">
        <v>2042</v>
      </c>
      <c r="C35" s="44">
        <v>28</v>
      </c>
      <c r="D35" s="206">
        <v>0</v>
      </c>
      <c r="E35" s="4"/>
    </row>
    <row r="36" spans="2:5" ht="12.75" customHeight="1" x14ac:dyDescent="0.2">
      <c r="B36" s="43">
        <v>2043</v>
      </c>
      <c r="C36" s="44">
        <v>29</v>
      </c>
      <c r="D36" s="206">
        <v>0</v>
      </c>
      <c r="E36" s="4"/>
    </row>
    <row r="37" spans="2:5" ht="12.75" customHeight="1" x14ac:dyDescent="0.2">
      <c r="B37" s="43">
        <v>2044</v>
      </c>
      <c r="C37" s="44">
        <v>30</v>
      </c>
      <c r="D37" s="206">
        <v>0</v>
      </c>
      <c r="E37" s="4"/>
    </row>
    <row r="38" spans="2:5" ht="12.75" customHeight="1" x14ac:dyDescent="0.2">
      <c r="B38" s="45">
        <v>2045</v>
      </c>
      <c r="C38" s="46">
        <v>31</v>
      </c>
      <c r="D38" s="203">
        <v>0</v>
      </c>
      <c r="E38" s="4"/>
    </row>
    <row r="39" spans="2:5" ht="12.75" customHeight="1" x14ac:dyDescent="0.2">
      <c r="B39" s="72" t="s">
        <v>6</v>
      </c>
      <c r="C39" s="53" t="str">
        <f>"0-31"</f>
        <v>0-31</v>
      </c>
      <c r="D39" s="210">
        <f>SUM(D7:D38)</f>
        <v>8037000</v>
      </c>
      <c r="E39" s="40"/>
    </row>
    <row r="40" spans="2:5" ht="5.0999999999999996" customHeight="1" x14ac:dyDescent="0.2">
      <c r="B40" s="48"/>
      <c r="C40" s="49"/>
      <c r="D40" s="210"/>
    </row>
    <row r="41" spans="2:5" ht="27.95" customHeight="1" x14ac:dyDescent="0.2">
      <c r="B41" s="542" t="s">
        <v>58</v>
      </c>
      <c r="C41" s="543"/>
      <c r="D41" s="210">
        <f>NPV(0.03,D8:D38)+D7</f>
        <v>7354993.5162213435</v>
      </c>
    </row>
    <row r="42" spans="2:5" ht="27.95" customHeight="1" x14ac:dyDescent="0.2">
      <c r="B42" s="542" t="s">
        <v>59</v>
      </c>
      <c r="C42" s="543"/>
      <c r="D42" s="210">
        <f>NPV(0.07,D8:D38)+D7</f>
        <v>6560586.0365717774</v>
      </c>
    </row>
    <row r="43" spans="2:5" ht="5.0999999999999996" customHeight="1" thickBot="1" x14ac:dyDescent="0.25">
      <c r="B43" s="50"/>
      <c r="C43" s="52"/>
      <c r="D43" s="207"/>
    </row>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4:4" ht="12.75" customHeight="1" x14ac:dyDescent="0.2"/>
    <row r="50" spans="4:4" s="5" customFormat="1" ht="12.75" customHeight="1" x14ac:dyDescent="0.2"/>
    <row r="51" spans="4:4" s="5" customFormat="1" ht="12.75" customHeight="1" x14ac:dyDescent="0.2"/>
    <row r="52" spans="4:4" s="5" customFormat="1" ht="12.75" customHeight="1" x14ac:dyDescent="0.2"/>
    <row r="53" spans="4:4" s="5" customFormat="1" ht="12.75" customHeight="1" x14ac:dyDescent="0.2"/>
    <row r="54" spans="4:4" s="5" customFormat="1" ht="12.75" customHeight="1" x14ac:dyDescent="0.2"/>
    <row r="55" spans="4:4" s="5" customFormat="1" ht="12.75" customHeight="1" x14ac:dyDescent="0.2"/>
    <row r="56" spans="4:4" s="5" customFormat="1" ht="12.75" customHeight="1" x14ac:dyDescent="0.2"/>
    <row r="57" spans="4:4" s="5" customFormat="1" ht="12.75" customHeight="1" x14ac:dyDescent="0.2"/>
    <row r="58" spans="4:4" s="5" customFormat="1" ht="12.75" customHeight="1" x14ac:dyDescent="0.2"/>
    <row r="59" spans="4:4" s="5" customFormat="1" ht="12.75" customHeight="1" x14ac:dyDescent="0.2"/>
    <row r="60" spans="4:4" s="5" customFormat="1" ht="12.75" customHeight="1" x14ac:dyDescent="0.2"/>
    <row r="61" spans="4:4" s="8" customFormat="1" ht="12.75" customHeight="1" x14ac:dyDescent="0.2">
      <c r="D61" s="5"/>
    </row>
    <row r="62" spans="4:4" s="8" customFormat="1" ht="12.75" customHeight="1" x14ac:dyDescent="0.2">
      <c r="D62" s="5"/>
    </row>
    <row r="63" spans="4:4" s="8" customFormat="1" ht="12.75" customHeight="1" x14ac:dyDescent="0.2">
      <c r="D63" s="5"/>
    </row>
    <row r="64" spans="4:4" s="5" customFormat="1" x14ac:dyDescent="0.2"/>
    <row r="73" ht="26.25" customHeight="1" x14ac:dyDescent="0.2"/>
  </sheetData>
  <mergeCells count="3">
    <mergeCell ref="B41:C41"/>
    <mergeCell ref="B42:C42"/>
    <mergeCell ref="B4:E4"/>
  </mergeCells>
  <pageMargins left="0.25" right="0.25" top="0.75" bottom="0.75" header="0.3" footer="0.3"/>
  <pageSetup firstPageNumber="15" orientation="portrait"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3:E74"/>
  <sheetViews>
    <sheetView showGridLines="0" view="pageBreakPreview" zoomScaleSheetLayoutView="100" workbookViewId="0"/>
  </sheetViews>
  <sheetFormatPr defaultColWidth="8.85546875" defaultRowHeight="12.75" x14ac:dyDescent="0.2"/>
  <cols>
    <col min="1" max="1" width="8.85546875" style="6"/>
    <col min="2" max="2" width="6.7109375" style="6" customWidth="1"/>
    <col min="3" max="3" width="9.7109375" style="6" customWidth="1"/>
    <col min="4" max="4" width="14.7109375" style="6" customWidth="1"/>
    <col min="5" max="5" width="15.7109375" style="6" customWidth="1"/>
    <col min="6" max="207" width="8.85546875" style="6"/>
    <col min="208" max="208" width="37.42578125" style="6" customWidth="1"/>
    <col min="209" max="211" width="0" style="6" hidden="1" customWidth="1"/>
    <col min="212" max="212" width="15.42578125" style="6" bestFit="1" customWidth="1"/>
    <col min="213" max="213" width="16.140625" style="6" customWidth="1"/>
    <col min="214" max="214" width="14.42578125" style="6" customWidth="1"/>
    <col min="215" max="215" width="13" style="6" customWidth="1"/>
    <col min="216" max="241" width="12.7109375" style="6" customWidth="1"/>
    <col min="242" max="463" width="8.85546875" style="6"/>
    <col min="464" max="464" width="37.42578125" style="6" customWidth="1"/>
    <col min="465" max="467" width="0" style="6" hidden="1" customWidth="1"/>
    <col min="468" max="468" width="15.42578125" style="6" bestFit="1" customWidth="1"/>
    <col min="469" max="469" width="16.140625" style="6" customWidth="1"/>
    <col min="470" max="470" width="14.42578125" style="6" customWidth="1"/>
    <col min="471" max="471" width="13" style="6" customWidth="1"/>
    <col min="472" max="497" width="12.7109375" style="6" customWidth="1"/>
    <col min="498" max="719" width="8.85546875" style="6"/>
    <col min="720" max="720" width="37.42578125" style="6" customWidth="1"/>
    <col min="721" max="723" width="0" style="6" hidden="1" customWidth="1"/>
    <col min="724" max="724" width="15.42578125" style="6" bestFit="1" customWidth="1"/>
    <col min="725" max="725" width="16.140625" style="6" customWidth="1"/>
    <col min="726" max="726" width="14.42578125" style="6" customWidth="1"/>
    <col min="727" max="727" width="13" style="6" customWidth="1"/>
    <col min="728" max="753" width="12.7109375" style="6" customWidth="1"/>
    <col min="754" max="975" width="8.85546875" style="6"/>
    <col min="976" max="976" width="37.42578125" style="6" customWidth="1"/>
    <col min="977" max="979" width="0" style="6" hidden="1" customWidth="1"/>
    <col min="980" max="980" width="15.42578125" style="6" bestFit="1" customWidth="1"/>
    <col min="981" max="981" width="16.140625" style="6" customWidth="1"/>
    <col min="982" max="982" width="14.42578125" style="6" customWidth="1"/>
    <col min="983" max="983" width="13" style="6" customWidth="1"/>
    <col min="984" max="1009" width="12.7109375" style="6" customWidth="1"/>
    <col min="1010" max="1231" width="8.85546875" style="6"/>
    <col min="1232" max="1232" width="37.42578125" style="6" customWidth="1"/>
    <col min="1233" max="1235" width="0" style="6" hidden="1" customWidth="1"/>
    <col min="1236" max="1236" width="15.42578125" style="6" bestFit="1" customWidth="1"/>
    <col min="1237" max="1237" width="16.140625" style="6" customWidth="1"/>
    <col min="1238" max="1238" width="14.42578125" style="6" customWidth="1"/>
    <col min="1239" max="1239" width="13" style="6" customWidth="1"/>
    <col min="1240" max="1265" width="12.7109375" style="6" customWidth="1"/>
    <col min="1266" max="1487" width="8.85546875" style="6"/>
    <col min="1488" max="1488" width="37.42578125" style="6" customWidth="1"/>
    <col min="1489" max="1491" width="0" style="6" hidden="1" customWidth="1"/>
    <col min="1492" max="1492" width="15.42578125" style="6" bestFit="1" customWidth="1"/>
    <col min="1493" max="1493" width="16.140625" style="6" customWidth="1"/>
    <col min="1494" max="1494" width="14.42578125" style="6" customWidth="1"/>
    <col min="1495" max="1495" width="13" style="6" customWidth="1"/>
    <col min="1496" max="1521" width="12.7109375" style="6" customWidth="1"/>
    <col min="1522" max="1743" width="8.85546875" style="6"/>
    <col min="1744" max="1744" width="37.42578125" style="6" customWidth="1"/>
    <col min="1745" max="1747" width="0" style="6" hidden="1" customWidth="1"/>
    <col min="1748" max="1748" width="15.42578125" style="6" bestFit="1" customWidth="1"/>
    <col min="1749" max="1749" width="16.140625" style="6" customWidth="1"/>
    <col min="1750" max="1750" width="14.42578125" style="6" customWidth="1"/>
    <col min="1751" max="1751" width="13" style="6" customWidth="1"/>
    <col min="1752" max="1777" width="12.7109375" style="6" customWidth="1"/>
    <col min="1778" max="1999" width="8.85546875" style="6"/>
    <col min="2000" max="2000" width="37.42578125" style="6" customWidth="1"/>
    <col min="2001" max="2003" width="0" style="6" hidden="1" customWidth="1"/>
    <col min="2004" max="2004" width="15.42578125" style="6" bestFit="1" customWidth="1"/>
    <col min="2005" max="2005" width="16.140625" style="6" customWidth="1"/>
    <col min="2006" max="2006" width="14.42578125" style="6" customWidth="1"/>
    <col min="2007" max="2007" width="13" style="6" customWidth="1"/>
    <col min="2008" max="2033" width="12.7109375" style="6" customWidth="1"/>
    <col min="2034" max="2255" width="8.85546875" style="6"/>
    <col min="2256" max="2256" width="37.42578125" style="6" customWidth="1"/>
    <col min="2257" max="2259" width="0" style="6" hidden="1" customWidth="1"/>
    <col min="2260" max="2260" width="15.42578125" style="6" bestFit="1" customWidth="1"/>
    <col min="2261" max="2261" width="16.140625" style="6" customWidth="1"/>
    <col min="2262" max="2262" width="14.42578125" style="6" customWidth="1"/>
    <col min="2263" max="2263" width="13" style="6" customWidth="1"/>
    <col min="2264" max="2289" width="12.7109375" style="6" customWidth="1"/>
    <col min="2290" max="2511" width="8.85546875" style="6"/>
    <col min="2512" max="2512" width="37.42578125" style="6" customWidth="1"/>
    <col min="2513" max="2515" width="0" style="6" hidden="1" customWidth="1"/>
    <col min="2516" max="2516" width="15.42578125" style="6" bestFit="1" customWidth="1"/>
    <col min="2517" max="2517" width="16.140625" style="6" customWidth="1"/>
    <col min="2518" max="2518" width="14.42578125" style="6" customWidth="1"/>
    <col min="2519" max="2519" width="13" style="6" customWidth="1"/>
    <col min="2520" max="2545" width="12.7109375" style="6" customWidth="1"/>
    <col min="2546" max="2767" width="8.85546875" style="6"/>
    <col min="2768" max="2768" width="37.42578125" style="6" customWidth="1"/>
    <col min="2769" max="2771" width="0" style="6" hidden="1" customWidth="1"/>
    <col min="2772" max="2772" width="15.42578125" style="6" bestFit="1" customWidth="1"/>
    <col min="2773" max="2773" width="16.140625" style="6" customWidth="1"/>
    <col min="2774" max="2774" width="14.42578125" style="6" customWidth="1"/>
    <col min="2775" max="2775" width="13" style="6" customWidth="1"/>
    <col min="2776" max="2801" width="12.7109375" style="6" customWidth="1"/>
    <col min="2802" max="3023" width="8.85546875" style="6"/>
    <col min="3024" max="3024" width="37.42578125" style="6" customWidth="1"/>
    <col min="3025" max="3027" width="0" style="6" hidden="1" customWidth="1"/>
    <col min="3028" max="3028" width="15.42578125" style="6" bestFit="1" customWidth="1"/>
    <col min="3029" max="3029" width="16.140625" style="6" customWidth="1"/>
    <col min="3030" max="3030" width="14.42578125" style="6" customWidth="1"/>
    <col min="3031" max="3031" width="13" style="6" customWidth="1"/>
    <col min="3032" max="3057" width="12.7109375" style="6" customWidth="1"/>
    <col min="3058" max="3279" width="8.85546875" style="6"/>
    <col min="3280" max="3280" width="37.42578125" style="6" customWidth="1"/>
    <col min="3281" max="3283" width="0" style="6" hidden="1" customWidth="1"/>
    <col min="3284" max="3284" width="15.42578125" style="6" bestFit="1" customWidth="1"/>
    <col min="3285" max="3285" width="16.140625" style="6" customWidth="1"/>
    <col min="3286" max="3286" width="14.42578125" style="6" customWidth="1"/>
    <col min="3287" max="3287" width="13" style="6" customWidth="1"/>
    <col min="3288" max="3313" width="12.7109375" style="6" customWidth="1"/>
    <col min="3314" max="3535" width="8.85546875" style="6"/>
    <col min="3536" max="3536" width="37.42578125" style="6" customWidth="1"/>
    <col min="3537" max="3539" width="0" style="6" hidden="1" customWidth="1"/>
    <col min="3540" max="3540" width="15.42578125" style="6" bestFit="1" customWidth="1"/>
    <col min="3541" max="3541" width="16.140625" style="6" customWidth="1"/>
    <col min="3542" max="3542" width="14.42578125" style="6" customWidth="1"/>
    <col min="3543" max="3543" width="13" style="6" customWidth="1"/>
    <col min="3544" max="3569" width="12.7109375" style="6" customWidth="1"/>
    <col min="3570" max="3791" width="8.85546875" style="6"/>
    <col min="3792" max="3792" width="37.42578125" style="6" customWidth="1"/>
    <col min="3793" max="3795" width="0" style="6" hidden="1" customWidth="1"/>
    <col min="3796" max="3796" width="15.42578125" style="6" bestFit="1" customWidth="1"/>
    <col min="3797" max="3797" width="16.140625" style="6" customWidth="1"/>
    <col min="3798" max="3798" width="14.42578125" style="6" customWidth="1"/>
    <col min="3799" max="3799" width="13" style="6" customWidth="1"/>
    <col min="3800" max="3825" width="12.7109375" style="6" customWidth="1"/>
    <col min="3826" max="4047" width="8.85546875" style="6"/>
    <col min="4048" max="4048" width="37.42578125" style="6" customWidth="1"/>
    <col min="4049" max="4051" width="0" style="6" hidden="1" customWidth="1"/>
    <col min="4052" max="4052" width="15.42578125" style="6" bestFit="1" customWidth="1"/>
    <col min="4053" max="4053" width="16.140625" style="6" customWidth="1"/>
    <col min="4054" max="4054" width="14.42578125" style="6" customWidth="1"/>
    <col min="4055" max="4055" width="13" style="6" customWidth="1"/>
    <col min="4056" max="4081" width="12.7109375" style="6" customWidth="1"/>
    <col min="4082" max="4303" width="8.85546875" style="6"/>
    <col min="4304" max="4304" width="37.42578125" style="6" customWidth="1"/>
    <col min="4305" max="4307" width="0" style="6" hidden="1" customWidth="1"/>
    <col min="4308" max="4308" width="15.42578125" style="6" bestFit="1" customWidth="1"/>
    <col min="4309" max="4309" width="16.140625" style="6" customWidth="1"/>
    <col min="4310" max="4310" width="14.42578125" style="6" customWidth="1"/>
    <col min="4311" max="4311" width="13" style="6" customWidth="1"/>
    <col min="4312" max="4337" width="12.7109375" style="6" customWidth="1"/>
    <col min="4338" max="4559" width="8.85546875" style="6"/>
    <col min="4560" max="4560" width="37.42578125" style="6" customWidth="1"/>
    <col min="4561" max="4563" width="0" style="6" hidden="1" customWidth="1"/>
    <col min="4564" max="4564" width="15.42578125" style="6" bestFit="1" customWidth="1"/>
    <col min="4565" max="4565" width="16.140625" style="6" customWidth="1"/>
    <col min="4566" max="4566" width="14.42578125" style="6" customWidth="1"/>
    <col min="4567" max="4567" width="13" style="6" customWidth="1"/>
    <col min="4568" max="4593" width="12.7109375" style="6" customWidth="1"/>
    <col min="4594" max="4815" width="8.85546875" style="6"/>
    <col min="4816" max="4816" width="37.42578125" style="6" customWidth="1"/>
    <col min="4817" max="4819" width="0" style="6" hidden="1" customWidth="1"/>
    <col min="4820" max="4820" width="15.42578125" style="6" bestFit="1" customWidth="1"/>
    <col min="4821" max="4821" width="16.140625" style="6" customWidth="1"/>
    <col min="4822" max="4822" width="14.42578125" style="6" customWidth="1"/>
    <col min="4823" max="4823" width="13" style="6" customWidth="1"/>
    <col min="4824" max="4849" width="12.7109375" style="6" customWidth="1"/>
    <col min="4850" max="5071" width="8.85546875" style="6"/>
    <col min="5072" max="5072" width="37.42578125" style="6" customWidth="1"/>
    <col min="5073" max="5075" width="0" style="6" hidden="1" customWidth="1"/>
    <col min="5076" max="5076" width="15.42578125" style="6" bestFit="1" customWidth="1"/>
    <col min="5077" max="5077" width="16.140625" style="6" customWidth="1"/>
    <col min="5078" max="5078" width="14.42578125" style="6" customWidth="1"/>
    <col min="5079" max="5079" width="13" style="6" customWidth="1"/>
    <col min="5080" max="5105" width="12.7109375" style="6" customWidth="1"/>
    <col min="5106" max="5327" width="8.85546875" style="6"/>
    <col min="5328" max="5328" width="37.42578125" style="6" customWidth="1"/>
    <col min="5329" max="5331" width="0" style="6" hidden="1" customWidth="1"/>
    <col min="5332" max="5332" width="15.42578125" style="6" bestFit="1" customWidth="1"/>
    <col min="5333" max="5333" width="16.140625" style="6" customWidth="1"/>
    <col min="5334" max="5334" width="14.42578125" style="6" customWidth="1"/>
    <col min="5335" max="5335" width="13" style="6" customWidth="1"/>
    <col min="5336" max="5361" width="12.7109375" style="6" customWidth="1"/>
    <col min="5362" max="5583" width="8.85546875" style="6"/>
    <col min="5584" max="5584" width="37.42578125" style="6" customWidth="1"/>
    <col min="5585" max="5587" width="0" style="6" hidden="1" customWidth="1"/>
    <col min="5588" max="5588" width="15.42578125" style="6" bestFit="1" customWidth="1"/>
    <col min="5589" max="5589" width="16.140625" style="6" customWidth="1"/>
    <col min="5590" max="5590" width="14.42578125" style="6" customWidth="1"/>
    <col min="5591" max="5591" width="13" style="6" customWidth="1"/>
    <col min="5592" max="5617" width="12.7109375" style="6" customWidth="1"/>
    <col min="5618" max="5839" width="8.85546875" style="6"/>
    <col min="5840" max="5840" width="37.42578125" style="6" customWidth="1"/>
    <col min="5841" max="5843" width="0" style="6" hidden="1" customWidth="1"/>
    <col min="5844" max="5844" width="15.42578125" style="6" bestFit="1" customWidth="1"/>
    <col min="5845" max="5845" width="16.140625" style="6" customWidth="1"/>
    <col min="5846" max="5846" width="14.42578125" style="6" customWidth="1"/>
    <col min="5847" max="5847" width="13" style="6" customWidth="1"/>
    <col min="5848" max="5873" width="12.7109375" style="6" customWidth="1"/>
    <col min="5874" max="6095" width="8.85546875" style="6"/>
    <col min="6096" max="6096" width="37.42578125" style="6" customWidth="1"/>
    <col min="6097" max="6099" width="0" style="6" hidden="1" customWidth="1"/>
    <col min="6100" max="6100" width="15.42578125" style="6" bestFit="1" customWidth="1"/>
    <col min="6101" max="6101" width="16.140625" style="6" customWidth="1"/>
    <col min="6102" max="6102" width="14.42578125" style="6" customWidth="1"/>
    <col min="6103" max="6103" width="13" style="6" customWidth="1"/>
    <col min="6104" max="6129" width="12.7109375" style="6" customWidth="1"/>
    <col min="6130" max="6351" width="8.85546875" style="6"/>
    <col min="6352" max="6352" width="37.42578125" style="6" customWidth="1"/>
    <col min="6353" max="6355" width="0" style="6" hidden="1" customWidth="1"/>
    <col min="6356" max="6356" width="15.42578125" style="6" bestFit="1" customWidth="1"/>
    <col min="6357" max="6357" width="16.140625" style="6" customWidth="1"/>
    <col min="6358" max="6358" width="14.42578125" style="6" customWidth="1"/>
    <col min="6359" max="6359" width="13" style="6" customWidth="1"/>
    <col min="6360" max="6385" width="12.7109375" style="6" customWidth="1"/>
    <col min="6386" max="6607" width="8.85546875" style="6"/>
    <col min="6608" max="6608" width="37.42578125" style="6" customWidth="1"/>
    <col min="6609" max="6611" width="0" style="6" hidden="1" customWidth="1"/>
    <col min="6612" max="6612" width="15.42578125" style="6" bestFit="1" customWidth="1"/>
    <col min="6613" max="6613" width="16.140625" style="6" customWidth="1"/>
    <col min="6614" max="6614" width="14.42578125" style="6" customWidth="1"/>
    <col min="6615" max="6615" width="13" style="6" customWidth="1"/>
    <col min="6616" max="6641" width="12.7109375" style="6" customWidth="1"/>
    <col min="6642" max="6863" width="8.85546875" style="6"/>
    <col min="6864" max="6864" width="37.42578125" style="6" customWidth="1"/>
    <col min="6865" max="6867" width="0" style="6" hidden="1" customWidth="1"/>
    <col min="6868" max="6868" width="15.42578125" style="6" bestFit="1" customWidth="1"/>
    <col min="6869" max="6869" width="16.140625" style="6" customWidth="1"/>
    <col min="6870" max="6870" width="14.42578125" style="6" customWidth="1"/>
    <col min="6871" max="6871" width="13" style="6" customWidth="1"/>
    <col min="6872" max="6897" width="12.7109375" style="6" customWidth="1"/>
    <col min="6898" max="7119" width="8.85546875" style="6"/>
    <col min="7120" max="7120" width="37.42578125" style="6" customWidth="1"/>
    <col min="7121" max="7123" width="0" style="6" hidden="1" customWidth="1"/>
    <col min="7124" max="7124" width="15.42578125" style="6" bestFit="1" customWidth="1"/>
    <col min="7125" max="7125" width="16.140625" style="6" customWidth="1"/>
    <col min="7126" max="7126" width="14.42578125" style="6" customWidth="1"/>
    <col min="7127" max="7127" width="13" style="6" customWidth="1"/>
    <col min="7128" max="7153" width="12.7109375" style="6" customWidth="1"/>
    <col min="7154" max="7375" width="8.85546875" style="6"/>
    <col min="7376" max="7376" width="37.42578125" style="6" customWidth="1"/>
    <col min="7377" max="7379" width="0" style="6" hidden="1" customWidth="1"/>
    <col min="7380" max="7380" width="15.42578125" style="6" bestFit="1" customWidth="1"/>
    <col min="7381" max="7381" width="16.140625" style="6" customWidth="1"/>
    <col min="7382" max="7382" width="14.42578125" style="6" customWidth="1"/>
    <col min="7383" max="7383" width="13" style="6" customWidth="1"/>
    <col min="7384" max="7409" width="12.7109375" style="6" customWidth="1"/>
    <col min="7410" max="7631" width="8.85546875" style="6"/>
    <col min="7632" max="7632" width="37.42578125" style="6" customWidth="1"/>
    <col min="7633" max="7635" width="0" style="6" hidden="1" customWidth="1"/>
    <col min="7636" max="7636" width="15.42578125" style="6" bestFit="1" customWidth="1"/>
    <col min="7637" max="7637" width="16.140625" style="6" customWidth="1"/>
    <col min="7638" max="7638" width="14.42578125" style="6" customWidth="1"/>
    <col min="7639" max="7639" width="13" style="6" customWidth="1"/>
    <col min="7640" max="7665" width="12.7109375" style="6" customWidth="1"/>
    <col min="7666" max="7887" width="8.85546875" style="6"/>
    <col min="7888" max="7888" width="37.42578125" style="6" customWidth="1"/>
    <col min="7889" max="7891" width="0" style="6" hidden="1" customWidth="1"/>
    <col min="7892" max="7892" width="15.42578125" style="6" bestFit="1" customWidth="1"/>
    <col min="7893" max="7893" width="16.140625" style="6" customWidth="1"/>
    <col min="7894" max="7894" width="14.42578125" style="6" customWidth="1"/>
    <col min="7895" max="7895" width="13" style="6" customWidth="1"/>
    <col min="7896" max="7921" width="12.7109375" style="6" customWidth="1"/>
    <col min="7922" max="8143" width="8.85546875" style="6"/>
    <col min="8144" max="8144" width="37.42578125" style="6" customWidth="1"/>
    <col min="8145" max="8147" width="0" style="6" hidden="1" customWidth="1"/>
    <col min="8148" max="8148" width="15.42578125" style="6" bestFit="1" customWidth="1"/>
    <col min="8149" max="8149" width="16.140625" style="6" customWidth="1"/>
    <col min="8150" max="8150" width="14.42578125" style="6" customWidth="1"/>
    <col min="8151" max="8151" width="13" style="6" customWidth="1"/>
    <col min="8152" max="8177" width="12.7109375" style="6" customWidth="1"/>
    <col min="8178" max="8399" width="8.85546875" style="6"/>
    <col min="8400" max="8400" width="37.42578125" style="6" customWidth="1"/>
    <col min="8401" max="8403" width="0" style="6" hidden="1" customWidth="1"/>
    <col min="8404" max="8404" width="15.42578125" style="6" bestFit="1" customWidth="1"/>
    <col min="8405" max="8405" width="16.140625" style="6" customWidth="1"/>
    <col min="8406" max="8406" width="14.42578125" style="6" customWidth="1"/>
    <col min="8407" max="8407" width="13" style="6" customWidth="1"/>
    <col min="8408" max="8433" width="12.7109375" style="6" customWidth="1"/>
    <col min="8434" max="8655" width="8.85546875" style="6"/>
    <col min="8656" max="8656" width="37.42578125" style="6" customWidth="1"/>
    <col min="8657" max="8659" width="0" style="6" hidden="1" customWidth="1"/>
    <col min="8660" max="8660" width="15.42578125" style="6" bestFit="1" customWidth="1"/>
    <col min="8661" max="8661" width="16.140625" style="6" customWidth="1"/>
    <col min="8662" max="8662" width="14.42578125" style="6" customWidth="1"/>
    <col min="8663" max="8663" width="13" style="6" customWidth="1"/>
    <col min="8664" max="8689" width="12.7109375" style="6" customWidth="1"/>
    <col min="8690" max="8911" width="8.85546875" style="6"/>
    <col min="8912" max="8912" width="37.42578125" style="6" customWidth="1"/>
    <col min="8913" max="8915" width="0" style="6" hidden="1" customWidth="1"/>
    <col min="8916" max="8916" width="15.42578125" style="6" bestFit="1" customWidth="1"/>
    <col min="8917" max="8917" width="16.140625" style="6" customWidth="1"/>
    <col min="8918" max="8918" width="14.42578125" style="6" customWidth="1"/>
    <col min="8919" max="8919" width="13" style="6" customWidth="1"/>
    <col min="8920" max="8945" width="12.7109375" style="6" customWidth="1"/>
    <col min="8946" max="9167" width="8.85546875" style="6"/>
    <col min="9168" max="9168" width="37.42578125" style="6" customWidth="1"/>
    <col min="9169" max="9171" width="0" style="6" hidden="1" customWidth="1"/>
    <col min="9172" max="9172" width="15.42578125" style="6" bestFit="1" customWidth="1"/>
    <col min="9173" max="9173" width="16.140625" style="6" customWidth="1"/>
    <col min="9174" max="9174" width="14.42578125" style="6" customWidth="1"/>
    <col min="9175" max="9175" width="13" style="6" customWidth="1"/>
    <col min="9176" max="9201" width="12.7109375" style="6" customWidth="1"/>
    <col min="9202" max="9423" width="8.85546875" style="6"/>
    <col min="9424" max="9424" width="37.42578125" style="6" customWidth="1"/>
    <col min="9425" max="9427" width="0" style="6" hidden="1" customWidth="1"/>
    <col min="9428" max="9428" width="15.42578125" style="6" bestFit="1" customWidth="1"/>
    <col min="9429" max="9429" width="16.140625" style="6" customWidth="1"/>
    <col min="9430" max="9430" width="14.42578125" style="6" customWidth="1"/>
    <col min="9431" max="9431" width="13" style="6" customWidth="1"/>
    <col min="9432" max="9457" width="12.7109375" style="6" customWidth="1"/>
    <col min="9458" max="9679" width="8.85546875" style="6"/>
    <col min="9680" max="9680" width="37.42578125" style="6" customWidth="1"/>
    <col min="9681" max="9683" width="0" style="6" hidden="1" customWidth="1"/>
    <col min="9684" max="9684" width="15.42578125" style="6" bestFit="1" customWidth="1"/>
    <col min="9685" max="9685" width="16.140625" style="6" customWidth="1"/>
    <col min="9686" max="9686" width="14.42578125" style="6" customWidth="1"/>
    <col min="9687" max="9687" width="13" style="6" customWidth="1"/>
    <col min="9688" max="9713" width="12.7109375" style="6" customWidth="1"/>
    <col min="9714" max="9935" width="8.85546875" style="6"/>
    <col min="9936" max="9936" width="37.42578125" style="6" customWidth="1"/>
    <col min="9937" max="9939" width="0" style="6" hidden="1" customWidth="1"/>
    <col min="9940" max="9940" width="15.42578125" style="6" bestFit="1" customWidth="1"/>
    <col min="9941" max="9941" width="16.140625" style="6" customWidth="1"/>
    <col min="9942" max="9942" width="14.42578125" style="6" customWidth="1"/>
    <col min="9943" max="9943" width="13" style="6" customWidth="1"/>
    <col min="9944" max="9969" width="12.7109375" style="6" customWidth="1"/>
    <col min="9970" max="10191" width="8.85546875" style="6"/>
    <col min="10192" max="10192" width="37.42578125" style="6" customWidth="1"/>
    <col min="10193" max="10195" width="0" style="6" hidden="1" customWidth="1"/>
    <col min="10196" max="10196" width="15.42578125" style="6" bestFit="1" customWidth="1"/>
    <col min="10197" max="10197" width="16.140625" style="6" customWidth="1"/>
    <col min="10198" max="10198" width="14.42578125" style="6" customWidth="1"/>
    <col min="10199" max="10199" width="13" style="6" customWidth="1"/>
    <col min="10200" max="10225" width="12.7109375" style="6" customWidth="1"/>
    <col min="10226" max="10447" width="8.85546875" style="6"/>
    <col min="10448" max="10448" width="37.42578125" style="6" customWidth="1"/>
    <col min="10449" max="10451" width="0" style="6" hidden="1" customWidth="1"/>
    <col min="10452" max="10452" width="15.42578125" style="6" bestFit="1" customWidth="1"/>
    <col min="10453" max="10453" width="16.140625" style="6" customWidth="1"/>
    <col min="10454" max="10454" width="14.42578125" style="6" customWidth="1"/>
    <col min="10455" max="10455" width="13" style="6" customWidth="1"/>
    <col min="10456" max="10481" width="12.7109375" style="6" customWidth="1"/>
    <col min="10482" max="10703" width="8.85546875" style="6"/>
    <col min="10704" max="10704" width="37.42578125" style="6" customWidth="1"/>
    <col min="10705" max="10707" width="0" style="6" hidden="1" customWidth="1"/>
    <col min="10708" max="10708" width="15.42578125" style="6" bestFit="1" customWidth="1"/>
    <col min="10709" max="10709" width="16.140625" style="6" customWidth="1"/>
    <col min="10710" max="10710" width="14.42578125" style="6" customWidth="1"/>
    <col min="10711" max="10711" width="13" style="6" customWidth="1"/>
    <col min="10712" max="10737" width="12.7109375" style="6" customWidth="1"/>
    <col min="10738" max="10959" width="8.85546875" style="6"/>
    <col min="10960" max="10960" width="37.42578125" style="6" customWidth="1"/>
    <col min="10961" max="10963" width="0" style="6" hidden="1" customWidth="1"/>
    <col min="10964" max="10964" width="15.42578125" style="6" bestFit="1" customWidth="1"/>
    <col min="10965" max="10965" width="16.140625" style="6" customWidth="1"/>
    <col min="10966" max="10966" width="14.42578125" style="6" customWidth="1"/>
    <col min="10967" max="10967" width="13" style="6" customWidth="1"/>
    <col min="10968" max="10993" width="12.7109375" style="6" customWidth="1"/>
    <col min="10994" max="11215" width="8.85546875" style="6"/>
    <col min="11216" max="11216" width="37.42578125" style="6" customWidth="1"/>
    <col min="11217" max="11219" width="0" style="6" hidden="1" customWidth="1"/>
    <col min="11220" max="11220" width="15.42578125" style="6" bestFit="1" customWidth="1"/>
    <col min="11221" max="11221" width="16.140625" style="6" customWidth="1"/>
    <col min="11222" max="11222" width="14.42578125" style="6" customWidth="1"/>
    <col min="11223" max="11223" width="13" style="6" customWidth="1"/>
    <col min="11224" max="11249" width="12.7109375" style="6" customWidth="1"/>
    <col min="11250" max="11471" width="8.85546875" style="6"/>
    <col min="11472" max="11472" width="37.42578125" style="6" customWidth="1"/>
    <col min="11473" max="11475" width="0" style="6" hidden="1" customWidth="1"/>
    <col min="11476" max="11476" width="15.42578125" style="6" bestFit="1" customWidth="1"/>
    <col min="11477" max="11477" width="16.140625" style="6" customWidth="1"/>
    <col min="11478" max="11478" width="14.42578125" style="6" customWidth="1"/>
    <col min="11479" max="11479" width="13" style="6" customWidth="1"/>
    <col min="11480" max="11505" width="12.7109375" style="6" customWidth="1"/>
    <col min="11506" max="11727" width="8.85546875" style="6"/>
    <col min="11728" max="11728" width="37.42578125" style="6" customWidth="1"/>
    <col min="11729" max="11731" width="0" style="6" hidden="1" customWidth="1"/>
    <col min="11732" max="11732" width="15.42578125" style="6" bestFit="1" customWidth="1"/>
    <col min="11733" max="11733" width="16.140625" style="6" customWidth="1"/>
    <col min="11734" max="11734" width="14.42578125" style="6" customWidth="1"/>
    <col min="11735" max="11735" width="13" style="6" customWidth="1"/>
    <col min="11736" max="11761" width="12.7109375" style="6" customWidth="1"/>
    <col min="11762" max="11983" width="8.85546875" style="6"/>
    <col min="11984" max="11984" width="37.42578125" style="6" customWidth="1"/>
    <col min="11985" max="11987" width="0" style="6" hidden="1" customWidth="1"/>
    <col min="11988" max="11988" width="15.42578125" style="6" bestFit="1" customWidth="1"/>
    <col min="11989" max="11989" width="16.140625" style="6" customWidth="1"/>
    <col min="11990" max="11990" width="14.42578125" style="6" customWidth="1"/>
    <col min="11991" max="11991" width="13" style="6" customWidth="1"/>
    <col min="11992" max="12017" width="12.7109375" style="6" customWidth="1"/>
    <col min="12018" max="12239" width="8.85546875" style="6"/>
    <col min="12240" max="12240" width="37.42578125" style="6" customWidth="1"/>
    <col min="12241" max="12243" width="0" style="6" hidden="1" customWidth="1"/>
    <col min="12244" max="12244" width="15.42578125" style="6" bestFit="1" customWidth="1"/>
    <col min="12245" max="12245" width="16.140625" style="6" customWidth="1"/>
    <col min="12246" max="12246" width="14.42578125" style="6" customWidth="1"/>
    <col min="12247" max="12247" width="13" style="6" customWidth="1"/>
    <col min="12248" max="12273" width="12.7109375" style="6" customWidth="1"/>
    <col min="12274" max="12495" width="8.85546875" style="6"/>
    <col min="12496" max="12496" width="37.42578125" style="6" customWidth="1"/>
    <col min="12497" max="12499" width="0" style="6" hidden="1" customWidth="1"/>
    <col min="12500" max="12500" width="15.42578125" style="6" bestFit="1" customWidth="1"/>
    <col min="12501" max="12501" width="16.140625" style="6" customWidth="1"/>
    <col min="12502" max="12502" width="14.42578125" style="6" customWidth="1"/>
    <col min="12503" max="12503" width="13" style="6" customWidth="1"/>
    <col min="12504" max="12529" width="12.7109375" style="6" customWidth="1"/>
    <col min="12530" max="12751" width="8.85546875" style="6"/>
    <col min="12752" max="12752" width="37.42578125" style="6" customWidth="1"/>
    <col min="12753" max="12755" width="0" style="6" hidden="1" customWidth="1"/>
    <col min="12756" max="12756" width="15.42578125" style="6" bestFit="1" customWidth="1"/>
    <col min="12757" max="12757" width="16.140625" style="6" customWidth="1"/>
    <col min="12758" max="12758" width="14.42578125" style="6" customWidth="1"/>
    <col min="12759" max="12759" width="13" style="6" customWidth="1"/>
    <col min="12760" max="12785" width="12.7109375" style="6" customWidth="1"/>
    <col min="12786" max="13007" width="8.85546875" style="6"/>
    <col min="13008" max="13008" width="37.42578125" style="6" customWidth="1"/>
    <col min="13009" max="13011" width="0" style="6" hidden="1" customWidth="1"/>
    <col min="13012" max="13012" width="15.42578125" style="6" bestFit="1" customWidth="1"/>
    <col min="13013" max="13013" width="16.140625" style="6" customWidth="1"/>
    <col min="13014" max="13014" width="14.42578125" style="6" customWidth="1"/>
    <col min="13015" max="13015" width="13" style="6" customWidth="1"/>
    <col min="13016" max="13041" width="12.7109375" style="6" customWidth="1"/>
    <col min="13042" max="13263" width="8.85546875" style="6"/>
    <col min="13264" max="13264" width="37.42578125" style="6" customWidth="1"/>
    <col min="13265" max="13267" width="0" style="6" hidden="1" customWidth="1"/>
    <col min="13268" max="13268" width="15.42578125" style="6" bestFit="1" customWidth="1"/>
    <col min="13269" max="13269" width="16.140625" style="6" customWidth="1"/>
    <col min="13270" max="13270" width="14.42578125" style="6" customWidth="1"/>
    <col min="13271" max="13271" width="13" style="6" customWidth="1"/>
    <col min="13272" max="13297" width="12.7109375" style="6" customWidth="1"/>
    <col min="13298" max="13519" width="8.85546875" style="6"/>
    <col min="13520" max="13520" width="37.42578125" style="6" customWidth="1"/>
    <col min="13521" max="13523" width="0" style="6" hidden="1" customWidth="1"/>
    <col min="13524" max="13524" width="15.42578125" style="6" bestFit="1" customWidth="1"/>
    <col min="13525" max="13525" width="16.140625" style="6" customWidth="1"/>
    <col min="13526" max="13526" width="14.42578125" style="6" customWidth="1"/>
    <col min="13527" max="13527" width="13" style="6" customWidth="1"/>
    <col min="13528" max="13553" width="12.7109375" style="6" customWidth="1"/>
    <col min="13554" max="13775" width="8.85546875" style="6"/>
    <col min="13776" max="13776" width="37.42578125" style="6" customWidth="1"/>
    <col min="13777" max="13779" width="0" style="6" hidden="1" customWidth="1"/>
    <col min="13780" max="13780" width="15.42578125" style="6" bestFit="1" customWidth="1"/>
    <col min="13781" max="13781" width="16.140625" style="6" customWidth="1"/>
    <col min="13782" max="13782" width="14.42578125" style="6" customWidth="1"/>
    <col min="13783" max="13783" width="13" style="6" customWidth="1"/>
    <col min="13784" max="13809" width="12.7109375" style="6" customWidth="1"/>
    <col min="13810" max="14031" width="8.85546875" style="6"/>
    <col min="14032" max="14032" width="37.42578125" style="6" customWidth="1"/>
    <col min="14033" max="14035" width="0" style="6" hidden="1" customWidth="1"/>
    <col min="14036" max="14036" width="15.42578125" style="6" bestFit="1" customWidth="1"/>
    <col min="14037" max="14037" width="16.140625" style="6" customWidth="1"/>
    <col min="14038" max="14038" width="14.42578125" style="6" customWidth="1"/>
    <col min="14039" max="14039" width="13" style="6" customWidth="1"/>
    <col min="14040" max="14065" width="12.7109375" style="6" customWidth="1"/>
    <col min="14066" max="14287" width="8.85546875" style="6"/>
    <col min="14288" max="14288" width="37.42578125" style="6" customWidth="1"/>
    <col min="14289" max="14291" width="0" style="6" hidden="1" customWidth="1"/>
    <col min="14292" max="14292" width="15.42578125" style="6" bestFit="1" customWidth="1"/>
    <col min="14293" max="14293" width="16.140625" style="6" customWidth="1"/>
    <col min="14294" max="14294" width="14.42578125" style="6" customWidth="1"/>
    <col min="14295" max="14295" width="13" style="6" customWidth="1"/>
    <col min="14296" max="14321" width="12.7109375" style="6" customWidth="1"/>
    <col min="14322" max="14543" width="8.85546875" style="6"/>
    <col min="14544" max="14544" width="37.42578125" style="6" customWidth="1"/>
    <col min="14545" max="14547" width="0" style="6" hidden="1" customWidth="1"/>
    <col min="14548" max="14548" width="15.42578125" style="6" bestFit="1" customWidth="1"/>
    <col min="14549" max="14549" width="16.140625" style="6" customWidth="1"/>
    <col min="14550" max="14550" width="14.42578125" style="6" customWidth="1"/>
    <col min="14551" max="14551" width="13" style="6" customWidth="1"/>
    <col min="14552" max="14577" width="12.7109375" style="6" customWidth="1"/>
    <col min="14578" max="14799" width="8.85546875" style="6"/>
    <col min="14800" max="14800" width="37.42578125" style="6" customWidth="1"/>
    <col min="14801" max="14803" width="0" style="6" hidden="1" customWidth="1"/>
    <col min="14804" max="14804" width="15.42578125" style="6" bestFit="1" customWidth="1"/>
    <col min="14805" max="14805" width="16.140625" style="6" customWidth="1"/>
    <col min="14806" max="14806" width="14.42578125" style="6" customWidth="1"/>
    <col min="14807" max="14807" width="13" style="6" customWidth="1"/>
    <col min="14808" max="14833" width="12.7109375" style="6" customWidth="1"/>
    <col min="14834" max="15055" width="8.85546875" style="6"/>
    <col min="15056" max="15056" width="37.42578125" style="6" customWidth="1"/>
    <col min="15057" max="15059" width="0" style="6" hidden="1" customWidth="1"/>
    <col min="15060" max="15060" width="15.42578125" style="6" bestFit="1" customWidth="1"/>
    <col min="15061" max="15061" width="16.140625" style="6" customWidth="1"/>
    <col min="15062" max="15062" width="14.42578125" style="6" customWidth="1"/>
    <col min="15063" max="15063" width="13" style="6" customWidth="1"/>
    <col min="15064" max="15089" width="12.7109375" style="6" customWidth="1"/>
    <col min="15090" max="15311" width="8.85546875" style="6"/>
    <col min="15312" max="15312" width="37.42578125" style="6" customWidth="1"/>
    <col min="15313" max="15315" width="0" style="6" hidden="1" customWidth="1"/>
    <col min="15316" max="15316" width="15.42578125" style="6" bestFit="1" customWidth="1"/>
    <col min="15317" max="15317" width="16.140625" style="6" customWidth="1"/>
    <col min="15318" max="15318" width="14.42578125" style="6" customWidth="1"/>
    <col min="15319" max="15319" width="13" style="6" customWidth="1"/>
    <col min="15320" max="15345" width="12.7109375" style="6" customWidth="1"/>
    <col min="15346" max="15567" width="8.85546875" style="6"/>
    <col min="15568" max="15568" width="37.42578125" style="6" customWidth="1"/>
    <col min="15569" max="15571" width="0" style="6" hidden="1" customWidth="1"/>
    <col min="15572" max="15572" width="15.42578125" style="6" bestFit="1" customWidth="1"/>
    <col min="15573" max="15573" width="16.140625" style="6" customWidth="1"/>
    <col min="15574" max="15574" width="14.42578125" style="6" customWidth="1"/>
    <col min="15575" max="15575" width="13" style="6" customWidth="1"/>
    <col min="15576" max="15601" width="12.7109375" style="6" customWidth="1"/>
    <col min="15602" max="15823" width="8.85546875" style="6"/>
    <col min="15824" max="15824" width="37.42578125" style="6" customWidth="1"/>
    <col min="15825" max="15827" width="0" style="6" hidden="1" customWidth="1"/>
    <col min="15828" max="15828" width="15.42578125" style="6" bestFit="1" customWidth="1"/>
    <col min="15829" max="15829" width="16.140625" style="6" customWidth="1"/>
    <col min="15830" max="15830" width="14.42578125" style="6" customWidth="1"/>
    <col min="15831" max="15831" width="13" style="6" customWidth="1"/>
    <col min="15832" max="15857" width="12.7109375" style="6" customWidth="1"/>
    <col min="15858" max="16079" width="8.85546875" style="6"/>
    <col min="16080" max="16080" width="37.42578125" style="6" customWidth="1"/>
    <col min="16081" max="16083" width="0" style="6" hidden="1" customWidth="1"/>
    <col min="16084" max="16084" width="15.42578125" style="6" bestFit="1" customWidth="1"/>
    <col min="16085" max="16085" width="16.140625" style="6" customWidth="1"/>
    <col min="16086" max="16086" width="14.42578125" style="6" customWidth="1"/>
    <col min="16087" max="16087" width="13" style="6" customWidth="1"/>
    <col min="16088" max="16113" width="12.7109375" style="6" customWidth="1"/>
    <col min="16114" max="16384" width="8.85546875" style="6"/>
  </cols>
  <sheetData>
    <row r="3" spans="2:5" ht="14.25" x14ac:dyDescent="0.2">
      <c r="B3" s="2" t="s">
        <v>13</v>
      </c>
    </row>
    <row r="4" spans="2:5" ht="14.25" x14ac:dyDescent="0.2">
      <c r="B4" s="76" t="s">
        <v>191</v>
      </c>
    </row>
    <row r="5" spans="2:5" ht="15" customHeight="1" x14ac:dyDescent="0.2">
      <c r="B5" s="544" t="s">
        <v>201</v>
      </c>
      <c r="C5" s="545"/>
      <c r="D5" s="545"/>
      <c r="E5" s="545"/>
    </row>
    <row r="6" spans="2:5" ht="5.0999999999999996" customHeight="1" thickBot="1" x14ac:dyDescent="0.25"/>
    <row r="7" spans="2:5" s="7" customFormat="1" ht="39.950000000000003" customHeight="1" thickBot="1" x14ac:dyDescent="0.25">
      <c r="B7" s="54" t="s">
        <v>15</v>
      </c>
      <c r="C7" s="55" t="s">
        <v>37</v>
      </c>
      <c r="D7" s="55" t="s">
        <v>119</v>
      </c>
      <c r="E7" s="4"/>
    </row>
    <row r="8" spans="2:5" x14ac:dyDescent="0.2">
      <c r="B8" s="43">
        <v>2014</v>
      </c>
      <c r="C8" s="44">
        <v>0</v>
      </c>
      <c r="D8" s="206">
        <v>0</v>
      </c>
      <c r="E8" s="74"/>
    </row>
    <row r="9" spans="2:5" ht="12.75" customHeight="1" x14ac:dyDescent="0.2">
      <c r="B9" s="43">
        <v>2015</v>
      </c>
      <c r="C9" s="44">
        <v>1</v>
      </c>
      <c r="D9" s="206">
        <v>0</v>
      </c>
      <c r="E9" s="4"/>
    </row>
    <row r="10" spans="2:5" x14ac:dyDescent="0.2">
      <c r="B10" s="43">
        <v>2016</v>
      </c>
      <c r="C10" s="44">
        <v>2</v>
      </c>
      <c r="D10" s="206">
        <v>0</v>
      </c>
      <c r="E10" s="4"/>
    </row>
    <row r="11" spans="2:5" ht="12.75" customHeight="1" x14ac:dyDescent="0.2">
      <c r="B11" s="43">
        <v>2017</v>
      </c>
      <c r="C11" s="44">
        <v>3</v>
      </c>
      <c r="D11" s="206">
        <f>'Safety Benefits Calculation'!$AB$59</f>
        <v>464389.99227578938</v>
      </c>
      <c r="E11" s="4"/>
    </row>
    <row r="12" spans="2:5" ht="12.75" customHeight="1" x14ac:dyDescent="0.2">
      <c r="B12" s="43">
        <v>2018</v>
      </c>
      <c r="C12" s="44">
        <v>4</v>
      </c>
      <c r="D12" s="206">
        <f>'Safety Benefits Calculation'!$AB$59</f>
        <v>464389.99227578938</v>
      </c>
      <c r="E12" s="4"/>
    </row>
    <row r="13" spans="2:5" ht="12.75" customHeight="1" x14ac:dyDescent="0.2">
      <c r="B13" s="43">
        <v>2019</v>
      </c>
      <c r="C13" s="44">
        <v>5</v>
      </c>
      <c r="D13" s="206">
        <f>'Safety Benefits Calculation'!$AB$59</f>
        <v>464389.99227578938</v>
      </c>
      <c r="E13" s="4"/>
    </row>
    <row r="14" spans="2:5" ht="12.75" customHeight="1" x14ac:dyDescent="0.2">
      <c r="B14" s="43">
        <v>2020</v>
      </c>
      <c r="C14" s="44">
        <v>6</v>
      </c>
      <c r="D14" s="206">
        <f>'Safety Benefits Calculation'!$AB$59</f>
        <v>464389.99227578938</v>
      </c>
      <c r="E14" s="4"/>
    </row>
    <row r="15" spans="2:5" ht="12.75" customHeight="1" x14ac:dyDescent="0.2">
      <c r="B15" s="43">
        <v>2021</v>
      </c>
      <c r="C15" s="44">
        <v>7</v>
      </c>
      <c r="D15" s="206">
        <f>'Safety Benefits Calculation'!$AB$59</f>
        <v>464389.99227578938</v>
      </c>
      <c r="E15" s="4"/>
    </row>
    <row r="16" spans="2:5" s="5" customFormat="1" ht="12.75" customHeight="1" x14ac:dyDescent="0.2">
      <c r="B16" s="43">
        <v>2022</v>
      </c>
      <c r="C16" s="44">
        <v>8</v>
      </c>
      <c r="D16" s="206">
        <f>'Safety Benefits Calculation'!$AB$59</f>
        <v>464389.99227578938</v>
      </c>
      <c r="E16" s="4"/>
    </row>
    <row r="17" spans="2:5" ht="12.75" customHeight="1" x14ac:dyDescent="0.2">
      <c r="B17" s="43">
        <v>2023</v>
      </c>
      <c r="C17" s="44">
        <v>9</v>
      </c>
      <c r="D17" s="206">
        <f>'Safety Benefits Calculation'!$AB$59</f>
        <v>464389.99227578938</v>
      </c>
      <c r="E17" s="4"/>
    </row>
    <row r="18" spans="2:5" ht="12.75" customHeight="1" x14ac:dyDescent="0.2">
      <c r="B18" s="43">
        <v>2024</v>
      </c>
      <c r="C18" s="44">
        <v>10</v>
      </c>
      <c r="D18" s="206">
        <f>'Safety Benefits Calculation'!$AB$59</f>
        <v>464389.99227578938</v>
      </c>
      <c r="E18" s="4"/>
    </row>
    <row r="19" spans="2:5" ht="12.75" customHeight="1" x14ac:dyDescent="0.2">
      <c r="B19" s="43">
        <v>2025</v>
      </c>
      <c r="C19" s="44">
        <v>11</v>
      </c>
      <c r="D19" s="206">
        <f>'Safety Benefits Calculation'!$AB$59</f>
        <v>464389.99227578938</v>
      </c>
      <c r="E19" s="4"/>
    </row>
    <row r="20" spans="2:5" ht="12.75" customHeight="1" x14ac:dyDescent="0.2">
      <c r="B20" s="43">
        <v>2026</v>
      </c>
      <c r="C20" s="44">
        <v>12</v>
      </c>
      <c r="D20" s="206">
        <f>'Safety Benefits Calculation'!$AB$59</f>
        <v>464389.99227578938</v>
      </c>
      <c r="E20" s="4"/>
    </row>
    <row r="21" spans="2:5" ht="12.75" customHeight="1" x14ac:dyDescent="0.2">
      <c r="B21" s="43">
        <v>2027</v>
      </c>
      <c r="C21" s="44">
        <v>13</v>
      </c>
      <c r="D21" s="206">
        <f>'Safety Benefits Calculation'!$AB$59</f>
        <v>464389.99227578938</v>
      </c>
      <c r="E21" s="4"/>
    </row>
    <row r="22" spans="2:5" ht="12.75" customHeight="1" x14ac:dyDescent="0.2">
      <c r="B22" s="43">
        <v>2028</v>
      </c>
      <c r="C22" s="44">
        <v>14</v>
      </c>
      <c r="D22" s="206">
        <f>'Safety Benefits Calculation'!$AB$59</f>
        <v>464389.99227578938</v>
      </c>
      <c r="E22" s="4"/>
    </row>
    <row r="23" spans="2:5" ht="12.75" customHeight="1" x14ac:dyDescent="0.2">
      <c r="B23" s="43">
        <v>2029</v>
      </c>
      <c r="C23" s="44">
        <v>15</v>
      </c>
      <c r="D23" s="206">
        <f>'Safety Benefits Calculation'!$AB$59</f>
        <v>464389.99227578938</v>
      </c>
      <c r="E23" s="4"/>
    </row>
    <row r="24" spans="2:5" ht="12.75" customHeight="1" x14ac:dyDescent="0.2">
      <c r="B24" s="43">
        <v>2030</v>
      </c>
      <c r="C24" s="44">
        <v>16</v>
      </c>
      <c r="D24" s="206">
        <f>'Safety Benefits Calculation'!$AB$59</f>
        <v>464389.99227578938</v>
      </c>
      <c r="E24" s="4"/>
    </row>
    <row r="25" spans="2:5" ht="12.75" customHeight="1" x14ac:dyDescent="0.2">
      <c r="B25" s="43">
        <v>2031</v>
      </c>
      <c r="C25" s="44">
        <v>17</v>
      </c>
      <c r="D25" s="206">
        <f>'Safety Benefits Calculation'!$AB$59</f>
        <v>464389.99227578938</v>
      </c>
      <c r="E25" s="4"/>
    </row>
    <row r="26" spans="2:5" ht="12.75" customHeight="1" x14ac:dyDescent="0.2">
      <c r="B26" s="43">
        <v>2032</v>
      </c>
      <c r="C26" s="44">
        <v>18</v>
      </c>
      <c r="D26" s="206">
        <f>'Safety Benefits Calculation'!$AB$59</f>
        <v>464389.99227578938</v>
      </c>
      <c r="E26" s="4"/>
    </row>
    <row r="27" spans="2:5" ht="12.75" customHeight="1" x14ac:dyDescent="0.2">
      <c r="B27" s="43">
        <v>2033</v>
      </c>
      <c r="C27" s="44">
        <v>19</v>
      </c>
      <c r="D27" s="206">
        <f>'Safety Benefits Calculation'!$AB$59</f>
        <v>464389.99227578938</v>
      </c>
      <c r="E27" s="4"/>
    </row>
    <row r="28" spans="2:5" ht="12.75" customHeight="1" x14ac:dyDescent="0.2">
      <c r="B28" s="43">
        <v>2034</v>
      </c>
      <c r="C28" s="44">
        <v>20</v>
      </c>
      <c r="D28" s="206">
        <f>'Safety Benefits Calculation'!$AB$59</f>
        <v>464389.99227578938</v>
      </c>
      <c r="E28" s="4"/>
    </row>
    <row r="29" spans="2:5" ht="12.75" customHeight="1" x14ac:dyDescent="0.2">
      <c r="B29" s="43">
        <v>2035</v>
      </c>
      <c r="C29" s="44">
        <v>21</v>
      </c>
      <c r="D29" s="206">
        <f>'Safety Benefits Calculation'!$AB$59</f>
        <v>464389.99227578938</v>
      </c>
      <c r="E29" s="4"/>
    </row>
    <row r="30" spans="2:5" ht="12.75" customHeight="1" x14ac:dyDescent="0.2">
      <c r="B30" s="43">
        <v>2036</v>
      </c>
      <c r="C30" s="44">
        <v>22</v>
      </c>
      <c r="D30" s="206">
        <f>'Safety Benefits Calculation'!$AB$59</f>
        <v>464389.99227578938</v>
      </c>
      <c r="E30" s="4"/>
    </row>
    <row r="31" spans="2:5" ht="12.75" customHeight="1" x14ac:dyDescent="0.2">
      <c r="B31" s="43">
        <v>2037</v>
      </c>
      <c r="C31" s="44">
        <v>23</v>
      </c>
      <c r="D31" s="206">
        <f>'Safety Benefits Calculation'!$AB$59</f>
        <v>464389.99227578938</v>
      </c>
      <c r="E31" s="4"/>
    </row>
    <row r="32" spans="2:5" ht="12.75" customHeight="1" x14ac:dyDescent="0.2">
      <c r="B32" s="43">
        <v>2038</v>
      </c>
      <c r="C32" s="44">
        <v>24</v>
      </c>
      <c r="D32" s="206">
        <f>'Safety Benefits Calculation'!$AB$59</f>
        <v>464389.99227578938</v>
      </c>
      <c r="E32" s="4"/>
    </row>
    <row r="33" spans="2:5" ht="12.75" customHeight="1" x14ac:dyDescent="0.2">
      <c r="B33" s="43">
        <v>2039</v>
      </c>
      <c r="C33" s="44">
        <v>25</v>
      </c>
      <c r="D33" s="206">
        <f>'Safety Benefits Calculation'!$AB$59</f>
        <v>464389.99227578938</v>
      </c>
      <c r="E33" s="4"/>
    </row>
    <row r="34" spans="2:5" ht="12.75" customHeight="1" x14ac:dyDescent="0.2">
      <c r="B34" s="43">
        <v>2040</v>
      </c>
      <c r="C34" s="44">
        <v>26</v>
      </c>
      <c r="D34" s="206">
        <f>'Safety Benefits Calculation'!$AB$59</f>
        <v>464389.99227578938</v>
      </c>
      <c r="E34" s="4"/>
    </row>
    <row r="35" spans="2:5" ht="12.75" customHeight="1" x14ac:dyDescent="0.2">
      <c r="B35" s="43">
        <v>2041</v>
      </c>
      <c r="C35" s="44">
        <v>27</v>
      </c>
      <c r="D35" s="206">
        <f>'Safety Benefits Calculation'!$AB$59</f>
        <v>464389.99227578938</v>
      </c>
      <c r="E35" s="4"/>
    </row>
    <row r="36" spans="2:5" ht="12.75" customHeight="1" x14ac:dyDescent="0.2">
      <c r="B36" s="43">
        <v>2042</v>
      </c>
      <c r="C36" s="44">
        <v>28</v>
      </c>
      <c r="D36" s="206">
        <f>'Safety Benefits Calculation'!$AB$59</f>
        <v>464389.99227578938</v>
      </c>
      <c r="E36" s="4"/>
    </row>
    <row r="37" spans="2:5" ht="12.75" customHeight="1" x14ac:dyDescent="0.2">
      <c r="B37" s="43">
        <v>2043</v>
      </c>
      <c r="C37" s="44">
        <v>29</v>
      </c>
      <c r="D37" s="206">
        <f>'Safety Benefits Calculation'!$AB$59</f>
        <v>464389.99227578938</v>
      </c>
      <c r="E37" s="4"/>
    </row>
    <row r="38" spans="2:5" ht="12.75" customHeight="1" x14ac:dyDescent="0.2">
      <c r="B38" s="43">
        <v>2044</v>
      </c>
      <c r="C38" s="44">
        <v>30</v>
      </c>
      <c r="D38" s="206">
        <f>'Safety Benefits Calculation'!$AB$59</f>
        <v>464389.99227578938</v>
      </c>
      <c r="E38" s="4"/>
    </row>
    <row r="39" spans="2:5" ht="12.75" customHeight="1" x14ac:dyDescent="0.2">
      <c r="B39" s="45">
        <v>2045</v>
      </c>
      <c r="C39" s="46">
        <v>31</v>
      </c>
      <c r="D39" s="203">
        <f>'Safety Benefits Calculation'!$AB$59</f>
        <v>464389.99227578938</v>
      </c>
      <c r="E39" s="4"/>
    </row>
    <row r="40" spans="2:5" ht="12.75" customHeight="1" x14ac:dyDescent="0.2">
      <c r="B40" s="72" t="s">
        <v>6</v>
      </c>
      <c r="C40" s="53" t="str">
        <f>"0-31"</f>
        <v>0-31</v>
      </c>
      <c r="D40" s="210">
        <f>SUM(D8:D39)</f>
        <v>13467309.775997892</v>
      </c>
      <c r="E40" s="40"/>
    </row>
    <row r="41" spans="2:5" ht="5.0999999999999996" customHeight="1" x14ac:dyDescent="0.2">
      <c r="B41" s="48"/>
      <c r="C41" s="49"/>
      <c r="D41" s="210"/>
    </row>
    <row r="42" spans="2:5" ht="27.95" customHeight="1" x14ac:dyDescent="0.2">
      <c r="B42" s="542" t="s">
        <v>58</v>
      </c>
      <c r="C42" s="543"/>
      <c r="D42" s="210">
        <f>NPV(0.03,D9:D39)+D8</f>
        <v>8399402.6570016127</v>
      </c>
    </row>
    <row r="43" spans="2:5" ht="27.95" customHeight="1" x14ac:dyDescent="0.2">
      <c r="B43" s="542" t="s">
        <v>59</v>
      </c>
      <c r="C43" s="543"/>
      <c r="D43" s="210">
        <f>NPV(0.07,D9:D39)+D8</f>
        <v>4980023.5521333925</v>
      </c>
    </row>
    <row r="44" spans="2:5" ht="5.0999999999999996" customHeight="1" thickBot="1" x14ac:dyDescent="0.25">
      <c r="B44" s="50"/>
      <c r="C44" s="52"/>
      <c r="D44" s="52"/>
    </row>
    <row r="45" spans="2:5" ht="12.75" customHeight="1" x14ac:dyDescent="0.2"/>
    <row r="46" spans="2:5" ht="12.75" customHeight="1" x14ac:dyDescent="0.2"/>
    <row r="47" spans="2:5" ht="12.75" customHeight="1" x14ac:dyDescent="0.2"/>
    <row r="48" spans="2:5" ht="12.75" customHeight="1" x14ac:dyDescent="0.2"/>
    <row r="49" ht="12.75" customHeight="1" x14ac:dyDescent="0.2"/>
    <row r="50" ht="12.75" customHeight="1" x14ac:dyDescent="0.2"/>
    <row r="51" s="5" customFormat="1" ht="12.75" customHeight="1" x14ac:dyDescent="0.2"/>
    <row r="52" s="5" customFormat="1" ht="12.75" customHeight="1" x14ac:dyDescent="0.2"/>
    <row r="53" s="5" customFormat="1" ht="12.75" customHeight="1" x14ac:dyDescent="0.2"/>
    <row r="54" s="5" customFormat="1" ht="12.75" customHeight="1" x14ac:dyDescent="0.2"/>
    <row r="55" s="5" customFormat="1" ht="12.75" customHeight="1" x14ac:dyDescent="0.2"/>
    <row r="56" s="5" customFormat="1" ht="12.75" customHeight="1" x14ac:dyDescent="0.2"/>
    <row r="57" s="5" customFormat="1" ht="12.75" customHeight="1" x14ac:dyDescent="0.2"/>
    <row r="58" s="5" customFormat="1" ht="12.75" customHeight="1" x14ac:dyDescent="0.2"/>
    <row r="59" s="5" customFormat="1" ht="12.75" customHeight="1" x14ac:dyDescent="0.2"/>
    <row r="60" s="5" customFormat="1" ht="12.75" customHeight="1" x14ac:dyDescent="0.2"/>
    <row r="61" s="5" customFormat="1" ht="12.75" customHeight="1" x14ac:dyDescent="0.2"/>
    <row r="62" s="8" customFormat="1" ht="12.75" customHeight="1" x14ac:dyDescent="0.2"/>
    <row r="63" s="8" customFormat="1" ht="12.75" customHeight="1" x14ac:dyDescent="0.2"/>
    <row r="64" s="8" customFormat="1" ht="12.75" customHeight="1" x14ac:dyDescent="0.2"/>
    <row r="65" s="5" customFormat="1" x14ac:dyDescent="0.2"/>
    <row r="74" ht="26.25" customHeight="1" x14ac:dyDescent="0.2"/>
  </sheetData>
  <mergeCells count="3">
    <mergeCell ref="B42:C42"/>
    <mergeCell ref="B43:C43"/>
    <mergeCell ref="B5:E5"/>
  </mergeCells>
  <pageMargins left="0.25" right="0.25" top="0.75" bottom="0.75" header="0.3" footer="0.3"/>
  <pageSetup scale="85" firstPageNumber="15" orientation="portrait"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13"/>
  <sheetViews>
    <sheetView showGridLines="0" view="pageBreakPreview" zoomScale="130" zoomScaleNormal="100" zoomScaleSheetLayoutView="130" workbookViewId="0"/>
  </sheetViews>
  <sheetFormatPr defaultColWidth="8.85546875" defaultRowHeight="15" x14ac:dyDescent="0.25"/>
  <cols>
    <col min="2" max="2" width="45.7109375" style="22" customWidth="1"/>
    <col min="3" max="3" width="11.7109375" style="22" customWidth="1"/>
  </cols>
  <sheetData>
    <row r="2" spans="1:4" ht="15" customHeight="1" x14ac:dyDescent="0.25">
      <c r="B2" s="2" t="s">
        <v>13</v>
      </c>
    </row>
    <row r="3" spans="1:4" ht="15" customHeight="1" x14ac:dyDescent="0.25">
      <c r="B3" s="76" t="s">
        <v>191</v>
      </c>
      <c r="C3" s="76"/>
    </row>
    <row r="4" spans="1:4" ht="15" customHeight="1" x14ac:dyDescent="0.25">
      <c r="B4" s="236" t="s">
        <v>203</v>
      </c>
      <c r="C4" s="76"/>
    </row>
    <row r="5" spans="1:4" ht="5.0999999999999996" customHeight="1" thickBot="1" x14ac:dyDescent="0.3">
      <c r="B5" s="546"/>
      <c r="C5" s="546"/>
    </row>
    <row r="6" spans="1:4" ht="15.75" thickBot="1" x14ac:dyDescent="0.3">
      <c r="B6" s="223" t="s">
        <v>185</v>
      </c>
      <c r="C6" s="24" t="s">
        <v>68</v>
      </c>
    </row>
    <row r="7" spans="1:4" x14ac:dyDescent="0.25">
      <c r="A7" s="1"/>
      <c r="B7" s="25" t="s">
        <v>125</v>
      </c>
      <c r="C7" s="26">
        <v>23210615.630999997</v>
      </c>
      <c r="D7" s="1"/>
    </row>
    <row r="8" spans="1:4" x14ac:dyDescent="0.25">
      <c r="A8" s="1"/>
      <c r="B8" s="102" t="s">
        <v>121</v>
      </c>
      <c r="C8" s="101">
        <v>2321061.5630999999</v>
      </c>
      <c r="D8" s="1"/>
    </row>
    <row r="9" spans="1:4" x14ac:dyDescent="0.25">
      <c r="A9" s="1"/>
      <c r="B9" s="102" t="s">
        <v>122</v>
      </c>
      <c r="C9" s="101">
        <v>11605307.815499999</v>
      </c>
      <c r="D9" s="1"/>
    </row>
    <row r="10" spans="1:4" x14ac:dyDescent="0.25">
      <c r="A10" s="1"/>
      <c r="B10" s="102" t="s">
        <v>123</v>
      </c>
      <c r="C10" s="101">
        <v>9284246.2523999996</v>
      </c>
      <c r="D10" s="1"/>
    </row>
    <row r="11" spans="1:4" x14ac:dyDescent="0.25">
      <c r="A11" s="1"/>
      <c r="B11" s="31" t="s">
        <v>124</v>
      </c>
      <c r="C11" s="32">
        <v>1297240.23</v>
      </c>
      <c r="D11" s="1"/>
    </row>
    <row r="12" spans="1:4" ht="15.75" thickBot="1" x14ac:dyDescent="0.3">
      <c r="A12" s="1"/>
      <c r="B12" s="61" t="s">
        <v>19</v>
      </c>
      <c r="C12" s="224">
        <f>C7+C11</f>
        <v>24507855.860999998</v>
      </c>
      <c r="D12" s="1"/>
    </row>
    <row r="13" spans="1:4" ht="5.0999999999999996" customHeight="1" x14ac:dyDescent="0.25">
      <c r="A13" s="1"/>
      <c r="B13" s="33"/>
      <c r="C13" s="13"/>
      <c r="D13" s="1"/>
    </row>
  </sheetData>
  <mergeCells count="1">
    <mergeCell ref="B5:C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17"/>
  <sheetViews>
    <sheetView showGridLines="0" view="pageBreakPreview" zoomScale="130" zoomScaleNormal="100" zoomScaleSheetLayoutView="130" workbookViewId="0"/>
  </sheetViews>
  <sheetFormatPr defaultColWidth="8.85546875" defaultRowHeight="15" x14ac:dyDescent="0.25"/>
  <cols>
    <col min="2" max="2" width="30.7109375" style="76" customWidth="1"/>
    <col min="3" max="3" width="20.7109375" style="76" customWidth="1"/>
  </cols>
  <sheetData>
    <row r="2" spans="1:4" ht="15" customHeight="1" x14ac:dyDescent="0.25">
      <c r="B2" s="2" t="s">
        <v>13</v>
      </c>
    </row>
    <row r="3" spans="1:4" ht="15" customHeight="1" x14ac:dyDescent="0.25">
      <c r="B3" s="76" t="s">
        <v>191</v>
      </c>
    </row>
    <row r="4" spans="1:4" ht="15" customHeight="1" x14ac:dyDescent="0.25">
      <c r="B4" s="236" t="s">
        <v>203</v>
      </c>
    </row>
    <row r="5" spans="1:4" ht="5.0999999999999996" customHeight="1" thickBot="1" x14ac:dyDescent="0.3">
      <c r="B5" s="546"/>
      <c r="C5" s="546"/>
    </row>
    <row r="6" spans="1:4" ht="15.75" thickBot="1" x14ac:dyDescent="0.3">
      <c r="B6" s="223" t="s">
        <v>159</v>
      </c>
      <c r="C6" s="24" t="s">
        <v>202</v>
      </c>
    </row>
    <row r="7" spans="1:4" x14ac:dyDescent="0.25">
      <c r="A7" s="1"/>
      <c r="B7" s="25" t="s">
        <v>150</v>
      </c>
      <c r="C7" s="26">
        <v>2321062</v>
      </c>
      <c r="D7" s="1"/>
    </row>
    <row r="8" spans="1:4" x14ac:dyDescent="0.25">
      <c r="A8" s="1"/>
      <c r="B8" s="25" t="s">
        <v>151</v>
      </c>
      <c r="C8" s="26">
        <v>1290255</v>
      </c>
      <c r="D8" s="1"/>
    </row>
    <row r="9" spans="1:4" x14ac:dyDescent="0.25">
      <c r="A9" s="1"/>
      <c r="B9" s="25" t="s">
        <v>152</v>
      </c>
      <c r="C9" s="26">
        <v>5161019</v>
      </c>
      <c r="D9" s="1"/>
    </row>
    <row r="10" spans="1:4" x14ac:dyDescent="0.25">
      <c r="A10" s="1"/>
      <c r="B10" s="25" t="s">
        <v>153</v>
      </c>
      <c r="C10" s="26">
        <v>5161019</v>
      </c>
      <c r="D10" s="1"/>
    </row>
    <row r="11" spans="1:4" x14ac:dyDescent="0.25">
      <c r="A11" s="1"/>
      <c r="B11" s="25" t="s">
        <v>154</v>
      </c>
      <c r="C11" s="26">
        <v>1290255</v>
      </c>
      <c r="D11" s="1"/>
    </row>
    <row r="12" spans="1:4" x14ac:dyDescent="0.25">
      <c r="A12" s="1"/>
      <c r="B12" s="25" t="s">
        <v>155</v>
      </c>
      <c r="C12" s="26">
        <v>464212</v>
      </c>
      <c r="D12" s="1"/>
    </row>
    <row r="13" spans="1:4" x14ac:dyDescent="0.25">
      <c r="A13" s="1"/>
      <c r="B13" s="25" t="s">
        <v>156</v>
      </c>
      <c r="C13" s="26">
        <v>4177911</v>
      </c>
      <c r="D13" s="1"/>
    </row>
    <row r="14" spans="1:4" x14ac:dyDescent="0.25">
      <c r="A14" s="1"/>
      <c r="B14" s="25" t="s">
        <v>157</v>
      </c>
      <c r="C14" s="26">
        <v>4177911</v>
      </c>
      <c r="D14" s="1"/>
    </row>
    <row r="15" spans="1:4" x14ac:dyDescent="0.25">
      <c r="A15" s="1"/>
      <c r="B15" s="31" t="s">
        <v>158</v>
      </c>
      <c r="C15" s="32">
        <v>464212</v>
      </c>
      <c r="D15" s="1"/>
    </row>
    <row r="16" spans="1:4" ht="15.75" thickBot="1" x14ac:dyDescent="0.3">
      <c r="A16" s="1"/>
      <c r="B16" s="61" t="s">
        <v>19</v>
      </c>
      <c r="C16" s="224">
        <f>SUM(C7:C15)</f>
        <v>24507856</v>
      </c>
      <c r="D16" s="1"/>
    </row>
    <row r="17" spans="1:4" ht="5.0999999999999996" customHeight="1" x14ac:dyDescent="0.25">
      <c r="A17" s="1"/>
      <c r="B17" s="33"/>
      <c r="C17" s="13"/>
      <c r="D17" s="1"/>
    </row>
  </sheetData>
  <mergeCells count="1">
    <mergeCell ref="B5:C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F11"/>
  <sheetViews>
    <sheetView showGridLines="0" view="pageBreakPreview" zoomScale="130" zoomScaleNormal="100" zoomScaleSheetLayoutView="130" workbookViewId="0"/>
  </sheetViews>
  <sheetFormatPr defaultColWidth="8.85546875" defaultRowHeight="15" x14ac:dyDescent="0.25"/>
  <cols>
    <col min="2" max="2" width="26.42578125" style="73" customWidth="1"/>
    <col min="3" max="3" width="8.7109375" style="73" customWidth="1"/>
    <col min="4" max="4" width="20.7109375" style="91" customWidth="1"/>
    <col min="5" max="5" width="16.28515625" style="73" bestFit="1" customWidth="1"/>
  </cols>
  <sheetData>
    <row r="2" spans="1:6" x14ac:dyDescent="0.25">
      <c r="B2" s="2" t="s">
        <v>13</v>
      </c>
      <c r="C2" s="76"/>
      <c r="E2" s="76"/>
    </row>
    <row r="3" spans="1:6" x14ac:dyDescent="0.25">
      <c r="B3" s="76" t="s">
        <v>191</v>
      </c>
      <c r="C3" s="76"/>
      <c r="E3" s="76"/>
    </row>
    <row r="4" spans="1:6" x14ac:dyDescent="0.25">
      <c r="B4" s="530" t="s">
        <v>204</v>
      </c>
      <c r="C4" s="530"/>
      <c r="D4" s="530"/>
      <c r="E4" s="530"/>
    </row>
    <row r="5" spans="1:6" ht="5.0999999999999996" customHeight="1" thickBot="1" x14ac:dyDescent="0.3"/>
    <row r="6" spans="1:6" ht="15.75" thickBot="1" x14ac:dyDescent="0.3">
      <c r="B6" s="223" t="s">
        <v>82</v>
      </c>
      <c r="C6" s="223" t="s">
        <v>83</v>
      </c>
      <c r="D6" s="237" t="s">
        <v>85</v>
      </c>
      <c r="E6" s="24" t="s">
        <v>84</v>
      </c>
    </row>
    <row r="7" spans="1:6" x14ac:dyDescent="0.25">
      <c r="A7" s="1"/>
      <c r="B7" s="25" t="s">
        <v>88</v>
      </c>
      <c r="C7" s="25">
        <v>2</v>
      </c>
      <c r="D7" s="92">
        <v>1875505.6470000001</v>
      </c>
      <c r="E7" s="26">
        <f>D7*C7</f>
        <v>3751011.2940000002</v>
      </c>
      <c r="F7" s="1"/>
    </row>
    <row r="8" spans="1:6" x14ac:dyDescent="0.25">
      <c r="A8" s="1"/>
      <c r="B8" s="31" t="s">
        <v>81</v>
      </c>
      <c r="C8" s="25">
        <v>8</v>
      </c>
      <c r="D8" s="92">
        <v>81153</v>
      </c>
      <c r="E8" s="32">
        <f>D8*C8</f>
        <v>649224</v>
      </c>
      <c r="F8" s="1"/>
    </row>
    <row r="9" spans="1:6" ht="15.75" thickBot="1" x14ac:dyDescent="0.3">
      <c r="A9" s="1"/>
      <c r="B9" s="61" t="s">
        <v>19</v>
      </c>
      <c r="C9" s="61"/>
      <c r="D9" s="225"/>
      <c r="E9" s="224">
        <f>SUM(E7:E8)</f>
        <v>4400235.2939999998</v>
      </c>
      <c r="F9" s="1"/>
    </row>
    <row r="10" spans="1:6" x14ac:dyDescent="0.25">
      <c r="A10" s="1"/>
      <c r="B10" s="33"/>
      <c r="C10" s="33"/>
      <c r="D10" s="95"/>
      <c r="E10" s="13"/>
      <c r="F10" s="1"/>
    </row>
    <row r="11" spans="1:6" x14ac:dyDescent="0.25">
      <c r="A11" s="1"/>
      <c r="B11" s="13"/>
      <c r="C11" s="13"/>
      <c r="D11" s="96"/>
      <c r="E11" s="13"/>
      <c r="F11" s="1"/>
    </row>
  </sheetData>
  <mergeCells count="1">
    <mergeCell ref="B4:E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37"/>
  <sheetViews>
    <sheetView showGridLines="0" view="pageBreakPreview" zoomScaleNormal="100" zoomScaleSheetLayoutView="100" workbookViewId="0"/>
  </sheetViews>
  <sheetFormatPr defaultColWidth="8.85546875" defaultRowHeight="15" x14ac:dyDescent="0.25"/>
  <cols>
    <col min="2" max="2" width="40.7109375" style="73" customWidth="1"/>
    <col min="3" max="3" width="10.7109375" style="73" customWidth="1"/>
    <col min="4" max="4" width="26.42578125" style="91" customWidth="1"/>
    <col min="5" max="5" width="16.28515625" style="73" bestFit="1" customWidth="1"/>
  </cols>
  <sheetData>
    <row r="1" spans="1:6" x14ac:dyDescent="0.25">
      <c r="B1" s="76"/>
      <c r="C1" s="76"/>
      <c r="E1" s="76"/>
    </row>
    <row r="2" spans="1:6" x14ac:dyDescent="0.25">
      <c r="B2" s="2" t="s">
        <v>13</v>
      </c>
      <c r="C2" s="76"/>
      <c r="E2" s="76"/>
    </row>
    <row r="3" spans="1:6" x14ac:dyDescent="0.25">
      <c r="B3" s="76" t="s">
        <v>191</v>
      </c>
    </row>
    <row r="4" spans="1:6" ht="15" customHeight="1" x14ac:dyDescent="0.25">
      <c r="B4" s="530" t="s">
        <v>204</v>
      </c>
      <c r="C4" s="530"/>
      <c r="D4" s="530"/>
      <c r="E4" s="530"/>
    </row>
    <row r="5" spans="1:6" ht="5.0999999999999996" customHeight="1" thickBot="1" x14ac:dyDescent="0.3">
      <c r="B5" s="546"/>
      <c r="C5" s="546"/>
      <c r="D5" s="546"/>
      <c r="E5" s="546"/>
    </row>
    <row r="6" spans="1:6" ht="15.75" thickBot="1" x14ac:dyDescent="0.3">
      <c r="B6" s="238" t="s">
        <v>82</v>
      </c>
      <c r="C6" s="238" t="s">
        <v>83</v>
      </c>
      <c r="D6" s="239" t="s">
        <v>85</v>
      </c>
      <c r="E6" s="24" t="s">
        <v>118</v>
      </c>
    </row>
    <row r="7" spans="1:6" ht="15" customHeight="1" x14ac:dyDescent="0.25">
      <c r="A7" s="1"/>
      <c r="B7" s="97" t="s">
        <v>89</v>
      </c>
      <c r="C7" s="98">
        <v>1</v>
      </c>
      <c r="D7" s="99">
        <v>11863934.362</v>
      </c>
      <c r="E7" s="99">
        <f>D7*C7</f>
        <v>11863934.362</v>
      </c>
      <c r="F7" s="1"/>
    </row>
    <row r="8" spans="1:6" x14ac:dyDescent="0.25">
      <c r="A8" s="1"/>
      <c r="B8" s="25" t="s">
        <v>90</v>
      </c>
      <c r="C8" s="25">
        <v>1</v>
      </c>
      <c r="D8" s="92">
        <v>1501522.524</v>
      </c>
      <c r="E8" s="99">
        <f t="shared" ref="E8:E33" si="0">D8*C8</f>
        <v>1501522.524</v>
      </c>
      <c r="F8" s="1"/>
    </row>
    <row r="9" spans="1:6" x14ac:dyDescent="0.25">
      <c r="A9" s="1"/>
      <c r="B9" s="25" t="s">
        <v>91</v>
      </c>
      <c r="C9" s="25">
        <v>8</v>
      </c>
      <c r="D9" s="92">
        <v>74752.2</v>
      </c>
      <c r="E9" s="99">
        <f t="shared" si="0"/>
        <v>598017.6</v>
      </c>
      <c r="F9" s="1"/>
    </row>
    <row r="10" spans="1:6" x14ac:dyDescent="0.25">
      <c r="A10" s="1"/>
      <c r="B10" s="25" t="s">
        <v>92</v>
      </c>
      <c r="C10" s="25">
        <v>1</v>
      </c>
      <c r="D10" s="92">
        <v>9001847.3125</v>
      </c>
      <c r="E10" s="99">
        <f t="shared" si="0"/>
        <v>9001847.3125</v>
      </c>
      <c r="F10" s="1"/>
    </row>
    <row r="11" spans="1:6" x14ac:dyDescent="0.25">
      <c r="A11" s="1"/>
      <c r="B11" s="25" t="s">
        <v>93</v>
      </c>
      <c r="C11" s="25">
        <v>1</v>
      </c>
      <c r="D11" s="92">
        <v>2023708.0429999998</v>
      </c>
      <c r="E11" s="99">
        <f t="shared" si="0"/>
        <v>2023708.0429999998</v>
      </c>
      <c r="F11" s="1"/>
    </row>
    <row r="12" spans="1:6" x14ac:dyDescent="0.25">
      <c r="A12" s="1"/>
      <c r="B12" s="25" t="s">
        <v>94</v>
      </c>
      <c r="C12" s="25">
        <v>8</v>
      </c>
      <c r="D12" s="92">
        <v>49149</v>
      </c>
      <c r="E12" s="99">
        <f t="shared" si="0"/>
        <v>393192</v>
      </c>
      <c r="F12" s="1"/>
    </row>
    <row r="13" spans="1:6" x14ac:dyDescent="0.25">
      <c r="A13" s="1"/>
      <c r="B13" s="25" t="s">
        <v>95</v>
      </c>
      <c r="C13" s="25">
        <v>1</v>
      </c>
      <c r="D13" s="92">
        <v>1945860.345</v>
      </c>
      <c r="E13" s="99">
        <f t="shared" si="0"/>
        <v>1945860.345</v>
      </c>
      <c r="F13" s="1"/>
    </row>
    <row r="14" spans="1:6" x14ac:dyDescent="0.25">
      <c r="A14" s="1"/>
      <c r="B14" s="25" t="s">
        <v>96</v>
      </c>
      <c r="C14" s="25">
        <v>2</v>
      </c>
      <c r="D14" s="92">
        <v>93242.8125</v>
      </c>
      <c r="E14" s="99">
        <f t="shared" si="0"/>
        <v>186485.625</v>
      </c>
      <c r="F14" s="1"/>
    </row>
    <row r="15" spans="1:6" x14ac:dyDescent="0.25">
      <c r="A15" s="1"/>
      <c r="B15" s="25" t="s">
        <v>97</v>
      </c>
      <c r="C15" s="25">
        <v>2</v>
      </c>
      <c r="D15" s="92">
        <v>318518.3125</v>
      </c>
      <c r="E15" s="99">
        <f t="shared" si="0"/>
        <v>637036.625</v>
      </c>
      <c r="F15" s="1"/>
    </row>
    <row r="16" spans="1:6" x14ac:dyDescent="0.25">
      <c r="A16" s="1"/>
      <c r="B16" s="25" t="s">
        <v>98</v>
      </c>
      <c r="C16" s="25">
        <v>1</v>
      </c>
      <c r="D16" s="92">
        <v>267107.03499999997</v>
      </c>
      <c r="E16" s="99">
        <f>D16*C16</f>
        <v>267107.03499999997</v>
      </c>
      <c r="F16" s="1"/>
    </row>
    <row r="17" spans="1:6" x14ac:dyDescent="0.25">
      <c r="A17" s="1"/>
      <c r="B17" s="25" t="s">
        <v>110</v>
      </c>
      <c r="C17" s="25">
        <v>15</v>
      </c>
      <c r="D17" s="92">
        <v>4135.3999999999996</v>
      </c>
      <c r="E17" s="99">
        <f>D17*C17</f>
        <v>62030.999999999993</v>
      </c>
      <c r="F17" s="1"/>
    </row>
    <row r="18" spans="1:6" x14ac:dyDescent="0.25">
      <c r="A18" s="1"/>
      <c r="B18" s="25" t="s">
        <v>99</v>
      </c>
      <c r="C18" s="25">
        <v>1</v>
      </c>
      <c r="D18" s="92">
        <v>2328203.92245</v>
      </c>
      <c r="E18" s="99">
        <f t="shared" si="0"/>
        <v>2328203.92245</v>
      </c>
      <c r="F18" s="1"/>
    </row>
    <row r="19" spans="1:6" x14ac:dyDescent="0.25">
      <c r="A19" s="1"/>
      <c r="B19" s="25" t="s">
        <v>100</v>
      </c>
      <c r="C19" s="25">
        <v>3</v>
      </c>
      <c r="D19" s="92">
        <v>180213</v>
      </c>
      <c r="E19" s="99">
        <f t="shared" si="0"/>
        <v>540639</v>
      </c>
      <c r="F19" s="1"/>
    </row>
    <row r="20" spans="1:6" x14ac:dyDescent="0.25">
      <c r="A20" s="1"/>
      <c r="B20" s="25" t="s">
        <v>101</v>
      </c>
      <c r="C20" s="25">
        <v>2</v>
      </c>
      <c r="D20" s="92">
        <v>118107.5625</v>
      </c>
      <c r="E20" s="99">
        <f t="shared" si="0"/>
        <v>236215.125</v>
      </c>
      <c r="F20" s="1"/>
    </row>
    <row r="21" spans="1:6" x14ac:dyDescent="0.25">
      <c r="A21" s="1"/>
      <c r="B21" s="25" t="s">
        <v>102</v>
      </c>
      <c r="C21" s="25">
        <v>1</v>
      </c>
      <c r="D21" s="92">
        <v>424120.68749999994</v>
      </c>
      <c r="E21" s="99">
        <f t="shared" si="0"/>
        <v>424120.68749999994</v>
      </c>
      <c r="F21" s="1"/>
    </row>
    <row r="22" spans="1:6" x14ac:dyDescent="0.25">
      <c r="A22" s="1"/>
      <c r="B22" s="25" t="s">
        <v>103</v>
      </c>
      <c r="C22" s="25">
        <v>1</v>
      </c>
      <c r="D22" s="92">
        <v>382817.37</v>
      </c>
      <c r="E22" s="99">
        <f t="shared" si="0"/>
        <v>382817.37</v>
      </c>
      <c r="F22" s="1"/>
    </row>
    <row r="23" spans="1:6" x14ac:dyDescent="0.25">
      <c r="A23" s="1"/>
      <c r="B23" s="25" t="s">
        <v>111</v>
      </c>
      <c r="C23" s="25">
        <v>13</v>
      </c>
      <c r="D23" s="92">
        <v>4206.7</v>
      </c>
      <c r="E23" s="99">
        <f t="shared" si="0"/>
        <v>54687.1</v>
      </c>
      <c r="F23" s="1"/>
    </row>
    <row r="24" spans="1:6" x14ac:dyDescent="0.25">
      <c r="A24" s="1"/>
      <c r="B24" s="25" t="s">
        <v>104</v>
      </c>
      <c r="C24" s="25">
        <v>1</v>
      </c>
      <c r="D24" s="92">
        <v>1096116.9530499999</v>
      </c>
      <c r="E24" s="99">
        <f t="shared" si="0"/>
        <v>1096116.9530499999</v>
      </c>
      <c r="F24" s="1"/>
    </row>
    <row r="25" spans="1:6" x14ac:dyDescent="0.25">
      <c r="A25" s="1"/>
      <c r="B25" s="25" t="s">
        <v>105</v>
      </c>
      <c r="C25" s="25">
        <v>3</v>
      </c>
      <c r="D25" s="92">
        <v>180213</v>
      </c>
      <c r="E25" s="99">
        <f t="shared" si="0"/>
        <v>540639</v>
      </c>
      <c r="F25" s="1"/>
    </row>
    <row r="26" spans="1:6" x14ac:dyDescent="0.25">
      <c r="A26" s="1"/>
      <c r="B26" s="25" t="s">
        <v>106</v>
      </c>
      <c r="C26" s="25">
        <v>3</v>
      </c>
      <c r="D26" s="92">
        <v>46939.200000000004</v>
      </c>
      <c r="E26" s="99">
        <f t="shared" si="0"/>
        <v>140817.60000000001</v>
      </c>
      <c r="F26" s="1"/>
    </row>
    <row r="27" spans="1:6" x14ac:dyDescent="0.25">
      <c r="A27" s="1"/>
      <c r="B27" s="25" t="s">
        <v>107</v>
      </c>
      <c r="C27" s="25">
        <v>2</v>
      </c>
      <c r="D27" s="92">
        <v>82882.5</v>
      </c>
      <c r="E27" s="99">
        <f t="shared" si="0"/>
        <v>165765</v>
      </c>
      <c r="F27" s="1"/>
    </row>
    <row r="28" spans="1:6" x14ac:dyDescent="0.25">
      <c r="A28" s="1"/>
      <c r="B28" s="25" t="s">
        <v>108</v>
      </c>
      <c r="C28" s="25">
        <v>1</v>
      </c>
      <c r="D28" s="92">
        <v>283598.625</v>
      </c>
      <c r="E28" s="99">
        <f t="shared" si="0"/>
        <v>283598.625</v>
      </c>
      <c r="F28" s="1"/>
    </row>
    <row r="29" spans="1:6" x14ac:dyDescent="0.25">
      <c r="A29" s="1"/>
      <c r="B29" s="25" t="s">
        <v>109</v>
      </c>
      <c r="C29" s="25">
        <v>1</v>
      </c>
      <c r="D29" s="92">
        <v>363252.25800000003</v>
      </c>
      <c r="E29" s="99">
        <f t="shared" si="0"/>
        <v>363252.25800000003</v>
      </c>
      <c r="F29" s="1"/>
    </row>
    <row r="30" spans="1:6" x14ac:dyDescent="0.25">
      <c r="A30" s="1"/>
      <c r="B30" s="25" t="s">
        <v>112</v>
      </c>
      <c r="C30" s="25">
        <v>13</v>
      </c>
      <c r="D30" s="92">
        <v>4206.7</v>
      </c>
      <c r="E30" s="99">
        <f t="shared" si="0"/>
        <v>54687.1</v>
      </c>
      <c r="F30" s="1"/>
    </row>
    <row r="31" spans="1:6" x14ac:dyDescent="0.25">
      <c r="A31" s="1"/>
      <c r="B31" s="25" t="s">
        <v>113</v>
      </c>
      <c r="C31" s="25">
        <v>1</v>
      </c>
      <c r="D31" s="92">
        <v>2727452</v>
      </c>
      <c r="E31" s="99">
        <f t="shared" si="0"/>
        <v>2727452</v>
      </c>
      <c r="F31" s="1"/>
    </row>
    <row r="32" spans="1:6" x14ac:dyDescent="0.25">
      <c r="A32" s="1"/>
      <c r="B32" s="25" t="s">
        <v>114</v>
      </c>
      <c r="C32" s="25">
        <v>1</v>
      </c>
      <c r="D32" s="92">
        <v>426783.5</v>
      </c>
      <c r="E32" s="99">
        <f t="shared" si="0"/>
        <v>426783.5</v>
      </c>
      <c r="F32" s="1"/>
    </row>
    <row r="33" spans="1:6" x14ac:dyDescent="0.25">
      <c r="A33" s="1"/>
      <c r="B33" s="31" t="s">
        <v>115</v>
      </c>
      <c r="C33" s="25">
        <v>1</v>
      </c>
      <c r="D33" s="92">
        <v>635635</v>
      </c>
      <c r="E33" s="524">
        <f t="shared" si="0"/>
        <v>635635</v>
      </c>
      <c r="F33" s="1"/>
    </row>
    <row r="34" spans="1:6" x14ac:dyDescent="0.25">
      <c r="A34" s="1"/>
      <c r="B34" s="27" t="s">
        <v>186</v>
      </c>
      <c r="C34" s="27"/>
      <c r="D34" s="93"/>
      <c r="E34" s="28">
        <f>SUM(E7:E33)</f>
        <v>38882172.712500006</v>
      </c>
      <c r="F34" s="1"/>
    </row>
    <row r="35" spans="1:6" ht="5.0999999999999996" customHeight="1" thickBot="1" x14ac:dyDescent="0.3">
      <c r="A35" s="1"/>
      <c r="B35" s="38"/>
      <c r="C35" s="38"/>
      <c r="D35" s="94"/>
      <c r="E35" s="38"/>
      <c r="F35" s="1"/>
    </row>
    <row r="36" spans="1:6" x14ac:dyDescent="0.25">
      <c r="A36" s="1"/>
      <c r="B36" s="33"/>
      <c r="C36" s="33"/>
      <c r="D36" s="95"/>
      <c r="E36" s="13"/>
      <c r="F36" s="1"/>
    </row>
    <row r="37" spans="1:6" x14ac:dyDescent="0.25">
      <c r="A37" s="1"/>
      <c r="B37" s="13"/>
      <c r="C37" s="13"/>
      <c r="D37" s="96"/>
      <c r="E37" s="13"/>
      <c r="F37" s="1"/>
    </row>
  </sheetData>
  <mergeCells count="2">
    <mergeCell ref="B5:E5"/>
    <mergeCell ref="B4:E4"/>
  </mergeCells>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Y22"/>
  <sheetViews>
    <sheetView showGridLines="0" view="pageBreakPreview" zoomScale="110" zoomScaleNormal="100" zoomScaleSheetLayoutView="110" workbookViewId="0"/>
  </sheetViews>
  <sheetFormatPr defaultColWidth="8.85546875" defaultRowHeight="14.25" x14ac:dyDescent="0.2"/>
  <cols>
    <col min="1" max="1" width="8.85546875" style="11"/>
    <col min="2" max="2" width="33.7109375" style="11" customWidth="1"/>
    <col min="3" max="3" width="15.7109375" style="11" customWidth="1"/>
    <col min="4" max="4" width="30.7109375" style="11" customWidth="1"/>
    <col min="5" max="5" width="29.85546875" style="11" customWidth="1"/>
    <col min="6" max="6" width="12" style="10" customWidth="1"/>
    <col min="7" max="7" width="25.42578125" style="10" customWidth="1"/>
    <col min="8" max="8" width="24.42578125" style="10" customWidth="1"/>
    <col min="9" max="9" width="11.42578125" style="10" bestFit="1" customWidth="1"/>
    <col min="10" max="10" width="16.140625" style="10" customWidth="1"/>
    <col min="11" max="11" width="15.42578125" style="10" customWidth="1"/>
    <col min="12" max="12" width="8.85546875" style="10"/>
    <col min="13" max="13" width="11" style="10" customWidth="1"/>
    <col min="14" max="14" width="14" style="10" customWidth="1"/>
    <col min="15" max="15" width="24.140625" style="10" bestFit="1" customWidth="1"/>
    <col min="16" max="16" width="56.140625" style="10" bestFit="1" customWidth="1"/>
    <col min="17" max="25" width="8.85546875" style="10"/>
    <col min="26" max="257" width="8.85546875" style="3"/>
    <col min="258" max="258" width="23.140625" style="3" customWidth="1"/>
    <col min="259" max="259" width="17.28515625" style="3" customWidth="1"/>
    <col min="260" max="260" width="8.85546875" style="3"/>
    <col min="261" max="261" width="23.42578125" style="3" customWidth="1"/>
    <col min="262" max="262" width="19.7109375" style="3" customWidth="1"/>
    <col min="263" max="263" width="25.42578125" style="3" customWidth="1"/>
    <col min="264" max="264" width="24.42578125" style="3" customWidth="1"/>
    <col min="265" max="265" width="11.42578125" style="3" bestFit="1" customWidth="1"/>
    <col min="266" max="266" width="16.140625" style="3" customWidth="1"/>
    <col min="267" max="267" width="15.42578125" style="3" customWidth="1"/>
    <col min="268" max="268" width="8.85546875" style="3"/>
    <col min="269" max="269" width="11" style="3" customWidth="1"/>
    <col min="270" max="513" width="8.85546875" style="3"/>
    <col min="514" max="514" width="23.140625" style="3" customWidth="1"/>
    <col min="515" max="515" width="17.28515625" style="3" customWidth="1"/>
    <col min="516" max="516" width="8.85546875" style="3"/>
    <col min="517" max="517" width="23.42578125" style="3" customWidth="1"/>
    <col min="518" max="518" width="19.7109375" style="3" customWidth="1"/>
    <col min="519" max="519" width="25.42578125" style="3" customWidth="1"/>
    <col min="520" max="520" width="24.42578125" style="3" customWidth="1"/>
    <col min="521" max="521" width="11.42578125" style="3" bestFit="1" customWidth="1"/>
    <col min="522" max="522" width="16.140625" style="3" customWidth="1"/>
    <col min="523" max="523" width="15.42578125" style="3" customWidth="1"/>
    <col min="524" max="524" width="8.85546875" style="3"/>
    <col min="525" max="525" width="11" style="3" customWidth="1"/>
    <col min="526" max="769" width="8.85546875" style="3"/>
    <col min="770" max="770" width="23.140625" style="3" customWidth="1"/>
    <col min="771" max="771" width="17.28515625" style="3" customWidth="1"/>
    <col min="772" max="772" width="8.85546875" style="3"/>
    <col min="773" max="773" width="23.42578125" style="3" customWidth="1"/>
    <col min="774" max="774" width="19.7109375" style="3" customWidth="1"/>
    <col min="775" max="775" width="25.42578125" style="3" customWidth="1"/>
    <col min="776" max="776" width="24.42578125" style="3" customWidth="1"/>
    <col min="777" max="777" width="11.42578125" style="3" bestFit="1" customWidth="1"/>
    <col min="778" max="778" width="16.140625" style="3" customWidth="1"/>
    <col min="779" max="779" width="15.42578125" style="3" customWidth="1"/>
    <col min="780" max="780" width="8.85546875" style="3"/>
    <col min="781" max="781" width="11" style="3" customWidth="1"/>
    <col min="782" max="1025" width="8.85546875" style="3"/>
    <col min="1026" max="1026" width="23.140625" style="3" customWidth="1"/>
    <col min="1027" max="1027" width="17.28515625" style="3" customWidth="1"/>
    <col min="1028" max="1028" width="8.85546875" style="3"/>
    <col min="1029" max="1029" width="23.42578125" style="3" customWidth="1"/>
    <col min="1030" max="1030" width="19.7109375" style="3" customWidth="1"/>
    <col min="1031" max="1031" width="25.42578125" style="3" customWidth="1"/>
    <col min="1032" max="1032" width="24.42578125" style="3" customWidth="1"/>
    <col min="1033" max="1033" width="11.42578125" style="3" bestFit="1" customWidth="1"/>
    <col min="1034" max="1034" width="16.140625" style="3" customWidth="1"/>
    <col min="1035" max="1035" width="15.42578125" style="3" customWidth="1"/>
    <col min="1036" max="1036" width="8.85546875" style="3"/>
    <col min="1037" max="1037" width="11" style="3" customWidth="1"/>
    <col min="1038" max="1281" width="8.85546875" style="3"/>
    <col min="1282" max="1282" width="23.140625" style="3" customWidth="1"/>
    <col min="1283" max="1283" width="17.28515625" style="3" customWidth="1"/>
    <col min="1284" max="1284" width="8.85546875" style="3"/>
    <col min="1285" max="1285" width="23.42578125" style="3" customWidth="1"/>
    <col min="1286" max="1286" width="19.7109375" style="3" customWidth="1"/>
    <col min="1287" max="1287" width="25.42578125" style="3" customWidth="1"/>
    <col min="1288" max="1288" width="24.42578125" style="3" customWidth="1"/>
    <col min="1289" max="1289" width="11.42578125" style="3" bestFit="1" customWidth="1"/>
    <col min="1290" max="1290" width="16.140625" style="3" customWidth="1"/>
    <col min="1291" max="1291" width="15.42578125" style="3" customWidth="1"/>
    <col min="1292" max="1292" width="8.85546875" style="3"/>
    <col min="1293" max="1293" width="11" style="3" customWidth="1"/>
    <col min="1294" max="1537" width="8.85546875" style="3"/>
    <col min="1538" max="1538" width="23.140625" style="3" customWidth="1"/>
    <col min="1539" max="1539" width="17.28515625" style="3" customWidth="1"/>
    <col min="1540" max="1540" width="8.85546875" style="3"/>
    <col min="1541" max="1541" width="23.42578125" style="3" customWidth="1"/>
    <col min="1542" max="1542" width="19.7109375" style="3" customWidth="1"/>
    <col min="1543" max="1543" width="25.42578125" style="3" customWidth="1"/>
    <col min="1544" max="1544" width="24.42578125" style="3" customWidth="1"/>
    <col min="1545" max="1545" width="11.42578125" style="3" bestFit="1" customWidth="1"/>
    <col min="1546" max="1546" width="16.140625" style="3" customWidth="1"/>
    <col min="1547" max="1547" width="15.42578125" style="3" customWidth="1"/>
    <col min="1548" max="1548" width="8.85546875" style="3"/>
    <col min="1549" max="1549" width="11" style="3" customWidth="1"/>
    <col min="1550" max="1793" width="8.85546875" style="3"/>
    <col min="1794" max="1794" width="23.140625" style="3" customWidth="1"/>
    <col min="1795" max="1795" width="17.28515625" style="3" customWidth="1"/>
    <col min="1796" max="1796" width="8.85546875" style="3"/>
    <col min="1797" max="1797" width="23.42578125" style="3" customWidth="1"/>
    <col min="1798" max="1798" width="19.7109375" style="3" customWidth="1"/>
    <col min="1799" max="1799" width="25.42578125" style="3" customWidth="1"/>
    <col min="1800" max="1800" width="24.42578125" style="3" customWidth="1"/>
    <col min="1801" max="1801" width="11.42578125" style="3" bestFit="1" customWidth="1"/>
    <col min="1802" max="1802" width="16.140625" style="3" customWidth="1"/>
    <col min="1803" max="1803" width="15.42578125" style="3" customWidth="1"/>
    <col min="1804" max="1804" width="8.85546875" style="3"/>
    <col min="1805" max="1805" width="11" style="3" customWidth="1"/>
    <col min="1806" max="2049" width="8.85546875" style="3"/>
    <col min="2050" max="2050" width="23.140625" style="3" customWidth="1"/>
    <col min="2051" max="2051" width="17.28515625" style="3" customWidth="1"/>
    <col min="2052" max="2052" width="8.85546875" style="3"/>
    <col min="2053" max="2053" width="23.42578125" style="3" customWidth="1"/>
    <col min="2054" max="2054" width="19.7109375" style="3" customWidth="1"/>
    <col min="2055" max="2055" width="25.42578125" style="3" customWidth="1"/>
    <col min="2056" max="2056" width="24.42578125" style="3" customWidth="1"/>
    <col min="2057" max="2057" width="11.42578125" style="3" bestFit="1" customWidth="1"/>
    <col min="2058" max="2058" width="16.140625" style="3" customWidth="1"/>
    <col min="2059" max="2059" width="15.42578125" style="3" customWidth="1"/>
    <col min="2060" max="2060" width="8.85546875" style="3"/>
    <col min="2061" max="2061" width="11" style="3" customWidth="1"/>
    <col min="2062" max="2305" width="8.85546875" style="3"/>
    <col min="2306" max="2306" width="23.140625" style="3" customWidth="1"/>
    <col min="2307" max="2307" width="17.28515625" style="3" customWidth="1"/>
    <col min="2308" max="2308" width="8.85546875" style="3"/>
    <col min="2309" max="2309" width="23.42578125" style="3" customWidth="1"/>
    <col min="2310" max="2310" width="19.7109375" style="3" customWidth="1"/>
    <col min="2311" max="2311" width="25.42578125" style="3" customWidth="1"/>
    <col min="2312" max="2312" width="24.42578125" style="3" customWidth="1"/>
    <col min="2313" max="2313" width="11.42578125" style="3" bestFit="1" customWidth="1"/>
    <col min="2314" max="2314" width="16.140625" style="3" customWidth="1"/>
    <col min="2315" max="2315" width="15.42578125" style="3" customWidth="1"/>
    <col min="2316" max="2316" width="8.85546875" style="3"/>
    <col min="2317" max="2317" width="11" style="3" customWidth="1"/>
    <col min="2318" max="2561" width="8.85546875" style="3"/>
    <col min="2562" max="2562" width="23.140625" style="3" customWidth="1"/>
    <col min="2563" max="2563" width="17.28515625" style="3" customWidth="1"/>
    <col min="2564" max="2564" width="8.85546875" style="3"/>
    <col min="2565" max="2565" width="23.42578125" style="3" customWidth="1"/>
    <col min="2566" max="2566" width="19.7109375" style="3" customWidth="1"/>
    <col min="2567" max="2567" width="25.42578125" style="3" customWidth="1"/>
    <col min="2568" max="2568" width="24.42578125" style="3" customWidth="1"/>
    <col min="2569" max="2569" width="11.42578125" style="3" bestFit="1" customWidth="1"/>
    <col min="2570" max="2570" width="16.140625" style="3" customWidth="1"/>
    <col min="2571" max="2571" width="15.42578125" style="3" customWidth="1"/>
    <col min="2572" max="2572" width="8.85546875" style="3"/>
    <col min="2573" max="2573" width="11" style="3" customWidth="1"/>
    <col min="2574" max="2817" width="8.85546875" style="3"/>
    <col min="2818" max="2818" width="23.140625" style="3" customWidth="1"/>
    <col min="2819" max="2819" width="17.28515625" style="3" customWidth="1"/>
    <col min="2820" max="2820" width="8.85546875" style="3"/>
    <col min="2821" max="2821" width="23.42578125" style="3" customWidth="1"/>
    <col min="2822" max="2822" width="19.7109375" style="3" customWidth="1"/>
    <col min="2823" max="2823" width="25.42578125" style="3" customWidth="1"/>
    <col min="2824" max="2824" width="24.42578125" style="3" customWidth="1"/>
    <col min="2825" max="2825" width="11.42578125" style="3" bestFit="1" customWidth="1"/>
    <col min="2826" max="2826" width="16.140625" style="3" customWidth="1"/>
    <col min="2827" max="2827" width="15.42578125" style="3" customWidth="1"/>
    <col min="2828" max="2828" width="8.85546875" style="3"/>
    <col min="2829" max="2829" width="11" style="3" customWidth="1"/>
    <col min="2830" max="3073" width="8.85546875" style="3"/>
    <col min="3074" max="3074" width="23.140625" style="3" customWidth="1"/>
    <col min="3075" max="3075" width="17.28515625" style="3" customWidth="1"/>
    <col min="3076" max="3076" width="8.85546875" style="3"/>
    <col min="3077" max="3077" width="23.42578125" style="3" customWidth="1"/>
    <col min="3078" max="3078" width="19.7109375" style="3" customWidth="1"/>
    <col min="3079" max="3079" width="25.42578125" style="3" customWidth="1"/>
    <col min="3080" max="3080" width="24.42578125" style="3" customWidth="1"/>
    <col min="3081" max="3081" width="11.42578125" style="3" bestFit="1" customWidth="1"/>
    <col min="3082" max="3082" width="16.140625" style="3" customWidth="1"/>
    <col min="3083" max="3083" width="15.42578125" style="3" customWidth="1"/>
    <col min="3084" max="3084" width="8.85546875" style="3"/>
    <col min="3085" max="3085" width="11" style="3" customWidth="1"/>
    <col min="3086" max="3329" width="8.85546875" style="3"/>
    <col min="3330" max="3330" width="23.140625" style="3" customWidth="1"/>
    <col min="3331" max="3331" width="17.28515625" style="3" customWidth="1"/>
    <col min="3332" max="3332" width="8.85546875" style="3"/>
    <col min="3333" max="3333" width="23.42578125" style="3" customWidth="1"/>
    <col min="3334" max="3334" width="19.7109375" style="3" customWidth="1"/>
    <col min="3335" max="3335" width="25.42578125" style="3" customWidth="1"/>
    <col min="3336" max="3336" width="24.42578125" style="3" customWidth="1"/>
    <col min="3337" max="3337" width="11.42578125" style="3" bestFit="1" customWidth="1"/>
    <col min="3338" max="3338" width="16.140625" style="3" customWidth="1"/>
    <col min="3339" max="3339" width="15.42578125" style="3" customWidth="1"/>
    <col min="3340" max="3340" width="8.85546875" style="3"/>
    <col min="3341" max="3341" width="11" style="3" customWidth="1"/>
    <col min="3342" max="3585" width="8.85546875" style="3"/>
    <col min="3586" max="3586" width="23.140625" style="3" customWidth="1"/>
    <col min="3587" max="3587" width="17.28515625" style="3" customWidth="1"/>
    <col min="3588" max="3588" width="8.85546875" style="3"/>
    <col min="3589" max="3589" width="23.42578125" style="3" customWidth="1"/>
    <col min="3590" max="3590" width="19.7109375" style="3" customWidth="1"/>
    <col min="3591" max="3591" width="25.42578125" style="3" customWidth="1"/>
    <col min="3592" max="3592" width="24.42578125" style="3" customWidth="1"/>
    <col min="3593" max="3593" width="11.42578125" style="3" bestFit="1" customWidth="1"/>
    <col min="3594" max="3594" width="16.140625" style="3" customWidth="1"/>
    <col min="3595" max="3595" width="15.42578125" style="3" customWidth="1"/>
    <col min="3596" max="3596" width="8.85546875" style="3"/>
    <col min="3597" max="3597" width="11" style="3" customWidth="1"/>
    <col min="3598" max="3841" width="8.85546875" style="3"/>
    <col min="3842" max="3842" width="23.140625" style="3" customWidth="1"/>
    <col min="3843" max="3843" width="17.28515625" style="3" customWidth="1"/>
    <col min="3844" max="3844" width="8.85546875" style="3"/>
    <col min="3845" max="3845" width="23.42578125" style="3" customWidth="1"/>
    <col min="3846" max="3846" width="19.7109375" style="3" customWidth="1"/>
    <col min="3847" max="3847" width="25.42578125" style="3" customWidth="1"/>
    <col min="3848" max="3848" width="24.42578125" style="3" customWidth="1"/>
    <col min="3849" max="3849" width="11.42578125" style="3" bestFit="1" customWidth="1"/>
    <col min="3850" max="3850" width="16.140625" style="3" customWidth="1"/>
    <col min="3851" max="3851" width="15.42578125" style="3" customWidth="1"/>
    <col min="3852" max="3852" width="8.85546875" style="3"/>
    <col min="3853" max="3853" width="11" style="3" customWidth="1"/>
    <col min="3854" max="4097" width="8.85546875" style="3"/>
    <col min="4098" max="4098" width="23.140625" style="3" customWidth="1"/>
    <col min="4099" max="4099" width="17.28515625" style="3" customWidth="1"/>
    <col min="4100" max="4100" width="8.85546875" style="3"/>
    <col min="4101" max="4101" width="23.42578125" style="3" customWidth="1"/>
    <col min="4102" max="4102" width="19.7109375" style="3" customWidth="1"/>
    <col min="4103" max="4103" width="25.42578125" style="3" customWidth="1"/>
    <col min="4104" max="4104" width="24.42578125" style="3" customWidth="1"/>
    <col min="4105" max="4105" width="11.42578125" style="3" bestFit="1" customWidth="1"/>
    <col min="4106" max="4106" width="16.140625" style="3" customWidth="1"/>
    <col min="4107" max="4107" width="15.42578125" style="3" customWidth="1"/>
    <col min="4108" max="4108" width="8.85546875" style="3"/>
    <col min="4109" max="4109" width="11" style="3" customWidth="1"/>
    <col min="4110" max="4353" width="8.85546875" style="3"/>
    <col min="4354" max="4354" width="23.140625" style="3" customWidth="1"/>
    <col min="4355" max="4355" width="17.28515625" style="3" customWidth="1"/>
    <col min="4356" max="4356" width="8.85546875" style="3"/>
    <col min="4357" max="4357" width="23.42578125" style="3" customWidth="1"/>
    <col min="4358" max="4358" width="19.7109375" style="3" customWidth="1"/>
    <col min="4359" max="4359" width="25.42578125" style="3" customWidth="1"/>
    <col min="4360" max="4360" width="24.42578125" style="3" customWidth="1"/>
    <col min="4361" max="4361" width="11.42578125" style="3" bestFit="1" customWidth="1"/>
    <col min="4362" max="4362" width="16.140625" style="3" customWidth="1"/>
    <col min="4363" max="4363" width="15.42578125" style="3" customWidth="1"/>
    <col min="4364" max="4364" width="8.85546875" style="3"/>
    <col min="4365" max="4365" width="11" style="3" customWidth="1"/>
    <col min="4366" max="4609" width="8.85546875" style="3"/>
    <col min="4610" max="4610" width="23.140625" style="3" customWidth="1"/>
    <col min="4611" max="4611" width="17.28515625" style="3" customWidth="1"/>
    <col min="4612" max="4612" width="8.85546875" style="3"/>
    <col min="4613" max="4613" width="23.42578125" style="3" customWidth="1"/>
    <col min="4614" max="4614" width="19.7109375" style="3" customWidth="1"/>
    <col min="4615" max="4615" width="25.42578125" style="3" customWidth="1"/>
    <col min="4616" max="4616" width="24.42578125" style="3" customWidth="1"/>
    <col min="4617" max="4617" width="11.42578125" style="3" bestFit="1" customWidth="1"/>
    <col min="4618" max="4618" width="16.140625" style="3" customWidth="1"/>
    <col min="4619" max="4619" width="15.42578125" style="3" customWidth="1"/>
    <col min="4620" max="4620" width="8.85546875" style="3"/>
    <col min="4621" max="4621" width="11" style="3" customWidth="1"/>
    <col min="4622" max="4865" width="8.85546875" style="3"/>
    <col min="4866" max="4866" width="23.140625" style="3" customWidth="1"/>
    <col min="4867" max="4867" width="17.28515625" style="3" customWidth="1"/>
    <col min="4868" max="4868" width="8.85546875" style="3"/>
    <col min="4869" max="4869" width="23.42578125" style="3" customWidth="1"/>
    <col min="4870" max="4870" width="19.7109375" style="3" customWidth="1"/>
    <col min="4871" max="4871" width="25.42578125" style="3" customWidth="1"/>
    <col min="4872" max="4872" width="24.42578125" style="3" customWidth="1"/>
    <col min="4873" max="4873" width="11.42578125" style="3" bestFit="1" customWidth="1"/>
    <col min="4874" max="4874" width="16.140625" style="3" customWidth="1"/>
    <col min="4875" max="4875" width="15.42578125" style="3" customWidth="1"/>
    <col min="4876" max="4876" width="8.85546875" style="3"/>
    <col min="4877" max="4877" width="11" style="3" customWidth="1"/>
    <col min="4878" max="5121" width="8.85546875" style="3"/>
    <col min="5122" max="5122" width="23.140625" style="3" customWidth="1"/>
    <col min="5123" max="5123" width="17.28515625" style="3" customWidth="1"/>
    <col min="5124" max="5124" width="8.85546875" style="3"/>
    <col min="5125" max="5125" width="23.42578125" style="3" customWidth="1"/>
    <col min="5126" max="5126" width="19.7109375" style="3" customWidth="1"/>
    <col min="5127" max="5127" width="25.42578125" style="3" customWidth="1"/>
    <col min="5128" max="5128" width="24.42578125" style="3" customWidth="1"/>
    <col min="5129" max="5129" width="11.42578125" style="3" bestFit="1" customWidth="1"/>
    <col min="5130" max="5130" width="16.140625" style="3" customWidth="1"/>
    <col min="5131" max="5131" width="15.42578125" style="3" customWidth="1"/>
    <col min="5132" max="5132" width="8.85546875" style="3"/>
    <col min="5133" max="5133" width="11" style="3" customWidth="1"/>
    <col min="5134" max="5377" width="8.85546875" style="3"/>
    <col min="5378" max="5378" width="23.140625" style="3" customWidth="1"/>
    <col min="5379" max="5379" width="17.28515625" style="3" customWidth="1"/>
    <col min="5380" max="5380" width="8.85546875" style="3"/>
    <col min="5381" max="5381" width="23.42578125" style="3" customWidth="1"/>
    <col min="5382" max="5382" width="19.7109375" style="3" customWidth="1"/>
    <col min="5383" max="5383" width="25.42578125" style="3" customWidth="1"/>
    <col min="5384" max="5384" width="24.42578125" style="3" customWidth="1"/>
    <col min="5385" max="5385" width="11.42578125" style="3" bestFit="1" customWidth="1"/>
    <col min="5386" max="5386" width="16.140625" style="3" customWidth="1"/>
    <col min="5387" max="5387" width="15.42578125" style="3" customWidth="1"/>
    <col min="5388" max="5388" width="8.85546875" style="3"/>
    <col min="5389" max="5389" width="11" style="3" customWidth="1"/>
    <col min="5390" max="5633" width="8.85546875" style="3"/>
    <col min="5634" max="5634" width="23.140625" style="3" customWidth="1"/>
    <col min="5635" max="5635" width="17.28515625" style="3" customWidth="1"/>
    <col min="5636" max="5636" width="8.85546875" style="3"/>
    <col min="5637" max="5637" width="23.42578125" style="3" customWidth="1"/>
    <col min="5638" max="5638" width="19.7109375" style="3" customWidth="1"/>
    <col min="5639" max="5639" width="25.42578125" style="3" customWidth="1"/>
    <col min="5640" max="5640" width="24.42578125" style="3" customWidth="1"/>
    <col min="5641" max="5641" width="11.42578125" style="3" bestFit="1" customWidth="1"/>
    <col min="5642" max="5642" width="16.140625" style="3" customWidth="1"/>
    <col min="5643" max="5643" width="15.42578125" style="3" customWidth="1"/>
    <col min="5644" max="5644" width="8.85546875" style="3"/>
    <col min="5645" max="5645" width="11" style="3" customWidth="1"/>
    <col min="5646" max="5889" width="8.85546875" style="3"/>
    <col min="5890" max="5890" width="23.140625" style="3" customWidth="1"/>
    <col min="5891" max="5891" width="17.28515625" style="3" customWidth="1"/>
    <col min="5892" max="5892" width="8.85546875" style="3"/>
    <col min="5893" max="5893" width="23.42578125" style="3" customWidth="1"/>
    <col min="5894" max="5894" width="19.7109375" style="3" customWidth="1"/>
    <col min="5895" max="5895" width="25.42578125" style="3" customWidth="1"/>
    <col min="5896" max="5896" width="24.42578125" style="3" customWidth="1"/>
    <col min="5897" max="5897" width="11.42578125" style="3" bestFit="1" customWidth="1"/>
    <col min="5898" max="5898" width="16.140625" style="3" customWidth="1"/>
    <col min="5899" max="5899" width="15.42578125" style="3" customWidth="1"/>
    <col min="5900" max="5900" width="8.85546875" style="3"/>
    <col min="5901" max="5901" width="11" style="3" customWidth="1"/>
    <col min="5902" max="6145" width="8.85546875" style="3"/>
    <col min="6146" max="6146" width="23.140625" style="3" customWidth="1"/>
    <col min="6147" max="6147" width="17.28515625" style="3" customWidth="1"/>
    <col min="6148" max="6148" width="8.85546875" style="3"/>
    <col min="6149" max="6149" width="23.42578125" style="3" customWidth="1"/>
    <col min="6150" max="6150" width="19.7109375" style="3" customWidth="1"/>
    <col min="6151" max="6151" width="25.42578125" style="3" customWidth="1"/>
    <col min="6152" max="6152" width="24.42578125" style="3" customWidth="1"/>
    <col min="6153" max="6153" width="11.42578125" style="3" bestFit="1" customWidth="1"/>
    <col min="6154" max="6154" width="16.140625" style="3" customWidth="1"/>
    <col min="6155" max="6155" width="15.42578125" style="3" customWidth="1"/>
    <col min="6156" max="6156" width="8.85546875" style="3"/>
    <col min="6157" max="6157" width="11" style="3" customWidth="1"/>
    <col min="6158" max="6401" width="8.85546875" style="3"/>
    <col min="6402" max="6402" width="23.140625" style="3" customWidth="1"/>
    <col min="6403" max="6403" width="17.28515625" style="3" customWidth="1"/>
    <col min="6404" max="6404" width="8.85546875" style="3"/>
    <col min="6405" max="6405" width="23.42578125" style="3" customWidth="1"/>
    <col min="6406" max="6406" width="19.7109375" style="3" customWidth="1"/>
    <col min="6407" max="6407" width="25.42578125" style="3" customWidth="1"/>
    <col min="6408" max="6408" width="24.42578125" style="3" customWidth="1"/>
    <col min="6409" max="6409" width="11.42578125" style="3" bestFit="1" customWidth="1"/>
    <col min="6410" max="6410" width="16.140625" style="3" customWidth="1"/>
    <col min="6411" max="6411" width="15.42578125" style="3" customWidth="1"/>
    <col min="6412" max="6412" width="8.85546875" style="3"/>
    <col min="6413" max="6413" width="11" style="3" customWidth="1"/>
    <col min="6414" max="6657" width="8.85546875" style="3"/>
    <col min="6658" max="6658" width="23.140625" style="3" customWidth="1"/>
    <col min="6659" max="6659" width="17.28515625" style="3" customWidth="1"/>
    <col min="6660" max="6660" width="8.85546875" style="3"/>
    <col min="6661" max="6661" width="23.42578125" style="3" customWidth="1"/>
    <col min="6662" max="6662" width="19.7109375" style="3" customWidth="1"/>
    <col min="6663" max="6663" width="25.42578125" style="3" customWidth="1"/>
    <col min="6664" max="6664" width="24.42578125" style="3" customWidth="1"/>
    <col min="6665" max="6665" width="11.42578125" style="3" bestFit="1" customWidth="1"/>
    <col min="6666" max="6666" width="16.140625" style="3" customWidth="1"/>
    <col min="6667" max="6667" width="15.42578125" style="3" customWidth="1"/>
    <col min="6668" max="6668" width="8.85546875" style="3"/>
    <col min="6669" max="6669" width="11" style="3" customWidth="1"/>
    <col min="6670" max="6913" width="8.85546875" style="3"/>
    <col min="6914" max="6914" width="23.140625" style="3" customWidth="1"/>
    <col min="6915" max="6915" width="17.28515625" style="3" customWidth="1"/>
    <col min="6916" max="6916" width="8.85546875" style="3"/>
    <col min="6917" max="6917" width="23.42578125" style="3" customWidth="1"/>
    <col min="6918" max="6918" width="19.7109375" style="3" customWidth="1"/>
    <col min="6919" max="6919" width="25.42578125" style="3" customWidth="1"/>
    <col min="6920" max="6920" width="24.42578125" style="3" customWidth="1"/>
    <col min="6921" max="6921" width="11.42578125" style="3" bestFit="1" customWidth="1"/>
    <col min="6922" max="6922" width="16.140625" style="3" customWidth="1"/>
    <col min="6923" max="6923" width="15.42578125" style="3" customWidth="1"/>
    <col min="6924" max="6924" width="8.85546875" style="3"/>
    <col min="6925" max="6925" width="11" style="3" customWidth="1"/>
    <col min="6926" max="7169" width="8.85546875" style="3"/>
    <col min="7170" max="7170" width="23.140625" style="3" customWidth="1"/>
    <col min="7171" max="7171" width="17.28515625" style="3" customWidth="1"/>
    <col min="7172" max="7172" width="8.85546875" style="3"/>
    <col min="7173" max="7173" width="23.42578125" style="3" customWidth="1"/>
    <col min="7174" max="7174" width="19.7109375" style="3" customWidth="1"/>
    <col min="7175" max="7175" width="25.42578125" style="3" customWidth="1"/>
    <col min="7176" max="7176" width="24.42578125" style="3" customWidth="1"/>
    <col min="7177" max="7177" width="11.42578125" style="3" bestFit="1" customWidth="1"/>
    <col min="7178" max="7178" width="16.140625" style="3" customWidth="1"/>
    <col min="7179" max="7179" width="15.42578125" style="3" customWidth="1"/>
    <col min="7180" max="7180" width="8.85546875" style="3"/>
    <col min="7181" max="7181" width="11" style="3" customWidth="1"/>
    <col min="7182" max="7425" width="8.85546875" style="3"/>
    <col min="7426" max="7426" width="23.140625" style="3" customWidth="1"/>
    <col min="7427" max="7427" width="17.28515625" style="3" customWidth="1"/>
    <col min="7428" max="7428" width="8.85546875" style="3"/>
    <col min="7429" max="7429" width="23.42578125" style="3" customWidth="1"/>
    <col min="7430" max="7430" width="19.7109375" style="3" customWidth="1"/>
    <col min="7431" max="7431" width="25.42578125" style="3" customWidth="1"/>
    <col min="7432" max="7432" width="24.42578125" style="3" customWidth="1"/>
    <col min="7433" max="7433" width="11.42578125" style="3" bestFit="1" customWidth="1"/>
    <col min="7434" max="7434" width="16.140625" style="3" customWidth="1"/>
    <col min="7435" max="7435" width="15.42578125" style="3" customWidth="1"/>
    <col min="7436" max="7436" width="8.85546875" style="3"/>
    <col min="7437" max="7437" width="11" style="3" customWidth="1"/>
    <col min="7438" max="7681" width="8.85546875" style="3"/>
    <col min="7682" max="7682" width="23.140625" style="3" customWidth="1"/>
    <col min="7683" max="7683" width="17.28515625" style="3" customWidth="1"/>
    <col min="7684" max="7684" width="8.85546875" style="3"/>
    <col min="7685" max="7685" width="23.42578125" style="3" customWidth="1"/>
    <col min="7686" max="7686" width="19.7109375" style="3" customWidth="1"/>
    <col min="7687" max="7687" width="25.42578125" style="3" customWidth="1"/>
    <col min="7688" max="7688" width="24.42578125" style="3" customWidth="1"/>
    <col min="7689" max="7689" width="11.42578125" style="3" bestFit="1" customWidth="1"/>
    <col min="7690" max="7690" width="16.140625" style="3" customWidth="1"/>
    <col min="7691" max="7691" width="15.42578125" style="3" customWidth="1"/>
    <col min="7692" max="7692" width="8.85546875" style="3"/>
    <col min="7693" max="7693" width="11" style="3" customWidth="1"/>
    <col min="7694" max="7937" width="8.85546875" style="3"/>
    <col min="7938" max="7938" width="23.140625" style="3" customWidth="1"/>
    <col min="7939" max="7939" width="17.28515625" style="3" customWidth="1"/>
    <col min="7940" max="7940" width="8.85546875" style="3"/>
    <col min="7941" max="7941" width="23.42578125" style="3" customWidth="1"/>
    <col min="7942" max="7942" width="19.7109375" style="3" customWidth="1"/>
    <col min="7943" max="7943" width="25.42578125" style="3" customWidth="1"/>
    <col min="7944" max="7944" width="24.42578125" style="3" customWidth="1"/>
    <col min="7945" max="7945" width="11.42578125" style="3" bestFit="1" customWidth="1"/>
    <col min="7946" max="7946" width="16.140625" style="3" customWidth="1"/>
    <col min="7947" max="7947" width="15.42578125" style="3" customWidth="1"/>
    <col min="7948" max="7948" width="8.85546875" style="3"/>
    <col min="7949" max="7949" width="11" style="3" customWidth="1"/>
    <col min="7950" max="8193" width="8.85546875" style="3"/>
    <col min="8194" max="8194" width="23.140625" style="3" customWidth="1"/>
    <col min="8195" max="8195" width="17.28515625" style="3" customWidth="1"/>
    <col min="8196" max="8196" width="8.85546875" style="3"/>
    <col min="8197" max="8197" width="23.42578125" style="3" customWidth="1"/>
    <col min="8198" max="8198" width="19.7109375" style="3" customWidth="1"/>
    <col min="8199" max="8199" width="25.42578125" style="3" customWidth="1"/>
    <col min="8200" max="8200" width="24.42578125" style="3" customWidth="1"/>
    <col min="8201" max="8201" width="11.42578125" style="3" bestFit="1" customWidth="1"/>
    <col min="8202" max="8202" width="16.140625" style="3" customWidth="1"/>
    <col min="8203" max="8203" width="15.42578125" style="3" customWidth="1"/>
    <col min="8204" max="8204" width="8.85546875" style="3"/>
    <col min="8205" max="8205" width="11" style="3" customWidth="1"/>
    <col min="8206" max="8449" width="8.85546875" style="3"/>
    <col min="8450" max="8450" width="23.140625" style="3" customWidth="1"/>
    <col min="8451" max="8451" width="17.28515625" style="3" customWidth="1"/>
    <col min="8452" max="8452" width="8.85546875" style="3"/>
    <col min="8453" max="8453" width="23.42578125" style="3" customWidth="1"/>
    <col min="8454" max="8454" width="19.7109375" style="3" customWidth="1"/>
    <col min="8455" max="8455" width="25.42578125" style="3" customWidth="1"/>
    <col min="8456" max="8456" width="24.42578125" style="3" customWidth="1"/>
    <col min="8457" max="8457" width="11.42578125" style="3" bestFit="1" customWidth="1"/>
    <col min="8458" max="8458" width="16.140625" style="3" customWidth="1"/>
    <col min="8459" max="8459" width="15.42578125" style="3" customWidth="1"/>
    <col min="8460" max="8460" width="8.85546875" style="3"/>
    <col min="8461" max="8461" width="11" style="3" customWidth="1"/>
    <col min="8462" max="8705" width="8.85546875" style="3"/>
    <col min="8706" max="8706" width="23.140625" style="3" customWidth="1"/>
    <col min="8707" max="8707" width="17.28515625" style="3" customWidth="1"/>
    <col min="8708" max="8708" width="8.85546875" style="3"/>
    <col min="8709" max="8709" width="23.42578125" style="3" customWidth="1"/>
    <col min="8710" max="8710" width="19.7109375" style="3" customWidth="1"/>
    <col min="8711" max="8711" width="25.42578125" style="3" customWidth="1"/>
    <col min="8712" max="8712" width="24.42578125" style="3" customWidth="1"/>
    <col min="8713" max="8713" width="11.42578125" style="3" bestFit="1" customWidth="1"/>
    <col min="8714" max="8714" width="16.140625" style="3" customWidth="1"/>
    <col min="8715" max="8715" width="15.42578125" style="3" customWidth="1"/>
    <col min="8716" max="8716" width="8.85546875" style="3"/>
    <col min="8717" max="8717" width="11" style="3" customWidth="1"/>
    <col min="8718" max="8961" width="8.85546875" style="3"/>
    <col min="8962" max="8962" width="23.140625" style="3" customWidth="1"/>
    <col min="8963" max="8963" width="17.28515625" style="3" customWidth="1"/>
    <col min="8964" max="8964" width="8.85546875" style="3"/>
    <col min="8965" max="8965" width="23.42578125" style="3" customWidth="1"/>
    <col min="8966" max="8966" width="19.7109375" style="3" customWidth="1"/>
    <col min="8967" max="8967" width="25.42578125" style="3" customWidth="1"/>
    <col min="8968" max="8968" width="24.42578125" style="3" customWidth="1"/>
    <col min="8969" max="8969" width="11.42578125" style="3" bestFit="1" customWidth="1"/>
    <col min="8970" max="8970" width="16.140625" style="3" customWidth="1"/>
    <col min="8971" max="8971" width="15.42578125" style="3" customWidth="1"/>
    <col min="8972" max="8972" width="8.85546875" style="3"/>
    <col min="8973" max="8973" width="11" style="3" customWidth="1"/>
    <col min="8974" max="9217" width="8.85546875" style="3"/>
    <col min="9218" max="9218" width="23.140625" style="3" customWidth="1"/>
    <col min="9219" max="9219" width="17.28515625" style="3" customWidth="1"/>
    <col min="9220" max="9220" width="8.85546875" style="3"/>
    <col min="9221" max="9221" width="23.42578125" style="3" customWidth="1"/>
    <col min="9222" max="9222" width="19.7109375" style="3" customWidth="1"/>
    <col min="9223" max="9223" width="25.42578125" style="3" customWidth="1"/>
    <col min="9224" max="9224" width="24.42578125" style="3" customWidth="1"/>
    <col min="9225" max="9225" width="11.42578125" style="3" bestFit="1" customWidth="1"/>
    <col min="9226" max="9226" width="16.140625" style="3" customWidth="1"/>
    <col min="9227" max="9227" width="15.42578125" style="3" customWidth="1"/>
    <col min="9228" max="9228" width="8.85546875" style="3"/>
    <col min="9229" max="9229" width="11" style="3" customWidth="1"/>
    <col min="9230" max="9473" width="8.85546875" style="3"/>
    <col min="9474" max="9474" width="23.140625" style="3" customWidth="1"/>
    <col min="9475" max="9475" width="17.28515625" style="3" customWidth="1"/>
    <col min="9476" max="9476" width="8.85546875" style="3"/>
    <col min="9477" max="9477" width="23.42578125" style="3" customWidth="1"/>
    <col min="9478" max="9478" width="19.7109375" style="3" customWidth="1"/>
    <col min="9479" max="9479" width="25.42578125" style="3" customWidth="1"/>
    <col min="9480" max="9480" width="24.42578125" style="3" customWidth="1"/>
    <col min="9481" max="9481" width="11.42578125" style="3" bestFit="1" customWidth="1"/>
    <col min="9482" max="9482" width="16.140625" style="3" customWidth="1"/>
    <col min="9483" max="9483" width="15.42578125" style="3" customWidth="1"/>
    <col min="9484" max="9484" width="8.85546875" style="3"/>
    <col min="9485" max="9485" width="11" style="3" customWidth="1"/>
    <col min="9486" max="9729" width="8.85546875" style="3"/>
    <col min="9730" max="9730" width="23.140625" style="3" customWidth="1"/>
    <col min="9731" max="9731" width="17.28515625" style="3" customWidth="1"/>
    <col min="9732" max="9732" width="8.85546875" style="3"/>
    <col min="9733" max="9733" width="23.42578125" style="3" customWidth="1"/>
    <col min="9734" max="9734" width="19.7109375" style="3" customWidth="1"/>
    <col min="9735" max="9735" width="25.42578125" style="3" customWidth="1"/>
    <col min="9736" max="9736" width="24.42578125" style="3" customWidth="1"/>
    <col min="9737" max="9737" width="11.42578125" style="3" bestFit="1" customWidth="1"/>
    <col min="9738" max="9738" width="16.140625" style="3" customWidth="1"/>
    <col min="9739" max="9739" width="15.42578125" style="3" customWidth="1"/>
    <col min="9740" max="9740" width="8.85546875" style="3"/>
    <col min="9741" max="9741" width="11" style="3" customWidth="1"/>
    <col min="9742" max="9985" width="8.85546875" style="3"/>
    <col min="9986" max="9986" width="23.140625" style="3" customWidth="1"/>
    <col min="9987" max="9987" width="17.28515625" style="3" customWidth="1"/>
    <col min="9988" max="9988" width="8.85546875" style="3"/>
    <col min="9989" max="9989" width="23.42578125" style="3" customWidth="1"/>
    <col min="9990" max="9990" width="19.7109375" style="3" customWidth="1"/>
    <col min="9991" max="9991" width="25.42578125" style="3" customWidth="1"/>
    <col min="9992" max="9992" width="24.42578125" style="3" customWidth="1"/>
    <col min="9993" max="9993" width="11.42578125" style="3" bestFit="1" customWidth="1"/>
    <col min="9994" max="9994" width="16.140625" style="3" customWidth="1"/>
    <col min="9995" max="9995" width="15.42578125" style="3" customWidth="1"/>
    <col min="9996" max="9996" width="8.85546875" style="3"/>
    <col min="9997" max="9997" width="11" style="3" customWidth="1"/>
    <col min="9998" max="10241" width="8.85546875" style="3"/>
    <col min="10242" max="10242" width="23.140625" style="3" customWidth="1"/>
    <col min="10243" max="10243" width="17.28515625" style="3" customWidth="1"/>
    <col min="10244" max="10244" width="8.85546875" style="3"/>
    <col min="10245" max="10245" width="23.42578125" style="3" customWidth="1"/>
    <col min="10246" max="10246" width="19.7109375" style="3" customWidth="1"/>
    <col min="10247" max="10247" width="25.42578125" style="3" customWidth="1"/>
    <col min="10248" max="10248" width="24.42578125" style="3" customWidth="1"/>
    <col min="10249" max="10249" width="11.42578125" style="3" bestFit="1" customWidth="1"/>
    <col min="10250" max="10250" width="16.140625" style="3" customWidth="1"/>
    <col min="10251" max="10251" width="15.42578125" style="3" customWidth="1"/>
    <col min="10252" max="10252" width="8.85546875" style="3"/>
    <col min="10253" max="10253" width="11" style="3" customWidth="1"/>
    <col min="10254" max="10497" width="8.85546875" style="3"/>
    <col min="10498" max="10498" width="23.140625" style="3" customWidth="1"/>
    <col min="10499" max="10499" width="17.28515625" style="3" customWidth="1"/>
    <col min="10500" max="10500" width="8.85546875" style="3"/>
    <col min="10501" max="10501" width="23.42578125" style="3" customWidth="1"/>
    <col min="10502" max="10502" width="19.7109375" style="3" customWidth="1"/>
    <col min="10503" max="10503" width="25.42578125" style="3" customWidth="1"/>
    <col min="10504" max="10504" width="24.42578125" style="3" customWidth="1"/>
    <col min="10505" max="10505" width="11.42578125" style="3" bestFit="1" customWidth="1"/>
    <col min="10506" max="10506" width="16.140625" style="3" customWidth="1"/>
    <col min="10507" max="10507" width="15.42578125" style="3" customWidth="1"/>
    <col min="10508" max="10508" width="8.85546875" style="3"/>
    <col min="10509" max="10509" width="11" style="3" customWidth="1"/>
    <col min="10510" max="10753" width="8.85546875" style="3"/>
    <col min="10754" max="10754" width="23.140625" style="3" customWidth="1"/>
    <col min="10755" max="10755" width="17.28515625" style="3" customWidth="1"/>
    <col min="10756" max="10756" width="8.85546875" style="3"/>
    <col min="10757" max="10757" width="23.42578125" style="3" customWidth="1"/>
    <col min="10758" max="10758" width="19.7109375" style="3" customWidth="1"/>
    <col min="10759" max="10759" width="25.42578125" style="3" customWidth="1"/>
    <col min="10760" max="10760" width="24.42578125" style="3" customWidth="1"/>
    <col min="10761" max="10761" width="11.42578125" style="3" bestFit="1" customWidth="1"/>
    <col min="10762" max="10762" width="16.140625" style="3" customWidth="1"/>
    <col min="10763" max="10763" width="15.42578125" style="3" customWidth="1"/>
    <col min="10764" max="10764" width="8.85546875" style="3"/>
    <col min="10765" max="10765" width="11" style="3" customWidth="1"/>
    <col min="10766" max="11009" width="8.85546875" style="3"/>
    <col min="11010" max="11010" width="23.140625" style="3" customWidth="1"/>
    <col min="11011" max="11011" width="17.28515625" style="3" customWidth="1"/>
    <col min="11012" max="11012" width="8.85546875" style="3"/>
    <col min="11013" max="11013" width="23.42578125" style="3" customWidth="1"/>
    <col min="11014" max="11014" width="19.7109375" style="3" customWidth="1"/>
    <col min="11015" max="11015" width="25.42578125" style="3" customWidth="1"/>
    <col min="11016" max="11016" width="24.42578125" style="3" customWidth="1"/>
    <col min="11017" max="11017" width="11.42578125" style="3" bestFit="1" customWidth="1"/>
    <col min="11018" max="11018" width="16.140625" style="3" customWidth="1"/>
    <col min="11019" max="11019" width="15.42578125" style="3" customWidth="1"/>
    <col min="11020" max="11020" width="8.85546875" style="3"/>
    <col min="11021" max="11021" width="11" style="3" customWidth="1"/>
    <col min="11022" max="11265" width="8.85546875" style="3"/>
    <col min="11266" max="11266" width="23.140625" style="3" customWidth="1"/>
    <col min="11267" max="11267" width="17.28515625" style="3" customWidth="1"/>
    <col min="11268" max="11268" width="8.85546875" style="3"/>
    <col min="11269" max="11269" width="23.42578125" style="3" customWidth="1"/>
    <col min="11270" max="11270" width="19.7109375" style="3" customWidth="1"/>
    <col min="11271" max="11271" width="25.42578125" style="3" customWidth="1"/>
    <col min="11272" max="11272" width="24.42578125" style="3" customWidth="1"/>
    <col min="11273" max="11273" width="11.42578125" style="3" bestFit="1" customWidth="1"/>
    <col min="11274" max="11274" width="16.140625" style="3" customWidth="1"/>
    <col min="11275" max="11275" width="15.42578125" style="3" customWidth="1"/>
    <col min="11276" max="11276" width="8.85546875" style="3"/>
    <col min="11277" max="11277" width="11" style="3" customWidth="1"/>
    <col min="11278" max="11521" width="8.85546875" style="3"/>
    <col min="11522" max="11522" width="23.140625" style="3" customWidth="1"/>
    <col min="11523" max="11523" width="17.28515625" style="3" customWidth="1"/>
    <col min="11524" max="11524" width="8.85546875" style="3"/>
    <col min="11525" max="11525" width="23.42578125" style="3" customWidth="1"/>
    <col min="11526" max="11526" width="19.7109375" style="3" customWidth="1"/>
    <col min="11527" max="11527" width="25.42578125" style="3" customWidth="1"/>
    <col min="11528" max="11528" width="24.42578125" style="3" customWidth="1"/>
    <col min="11529" max="11529" width="11.42578125" style="3" bestFit="1" customWidth="1"/>
    <col min="11530" max="11530" width="16.140625" style="3" customWidth="1"/>
    <col min="11531" max="11531" width="15.42578125" style="3" customWidth="1"/>
    <col min="11532" max="11532" width="8.85546875" style="3"/>
    <col min="11533" max="11533" width="11" style="3" customWidth="1"/>
    <col min="11534" max="11777" width="8.85546875" style="3"/>
    <col min="11778" max="11778" width="23.140625" style="3" customWidth="1"/>
    <col min="11779" max="11779" width="17.28515625" style="3" customWidth="1"/>
    <col min="11780" max="11780" width="8.85546875" style="3"/>
    <col min="11781" max="11781" width="23.42578125" style="3" customWidth="1"/>
    <col min="11782" max="11782" width="19.7109375" style="3" customWidth="1"/>
    <col min="11783" max="11783" width="25.42578125" style="3" customWidth="1"/>
    <col min="11784" max="11784" width="24.42578125" style="3" customWidth="1"/>
    <col min="11785" max="11785" width="11.42578125" style="3" bestFit="1" customWidth="1"/>
    <col min="11786" max="11786" width="16.140625" style="3" customWidth="1"/>
    <col min="11787" max="11787" width="15.42578125" style="3" customWidth="1"/>
    <col min="11788" max="11788" width="8.85546875" style="3"/>
    <col min="11789" max="11789" width="11" style="3" customWidth="1"/>
    <col min="11790" max="12033" width="8.85546875" style="3"/>
    <col min="12034" max="12034" width="23.140625" style="3" customWidth="1"/>
    <col min="12035" max="12035" width="17.28515625" style="3" customWidth="1"/>
    <col min="12036" max="12036" width="8.85546875" style="3"/>
    <col min="12037" max="12037" width="23.42578125" style="3" customWidth="1"/>
    <col min="12038" max="12038" width="19.7109375" style="3" customWidth="1"/>
    <col min="12039" max="12039" width="25.42578125" style="3" customWidth="1"/>
    <col min="12040" max="12040" width="24.42578125" style="3" customWidth="1"/>
    <col min="12041" max="12041" width="11.42578125" style="3" bestFit="1" customWidth="1"/>
    <col min="12042" max="12042" width="16.140625" style="3" customWidth="1"/>
    <col min="12043" max="12043" width="15.42578125" style="3" customWidth="1"/>
    <col min="12044" max="12044" width="8.85546875" style="3"/>
    <col min="12045" max="12045" width="11" style="3" customWidth="1"/>
    <col min="12046" max="12289" width="8.85546875" style="3"/>
    <col min="12290" max="12290" width="23.140625" style="3" customWidth="1"/>
    <col min="12291" max="12291" width="17.28515625" style="3" customWidth="1"/>
    <col min="12292" max="12292" width="8.85546875" style="3"/>
    <col min="12293" max="12293" width="23.42578125" style="3" customWidth="1"/>
    <col min="12294" max="12294" width="19.7109375" style="3" customWidth="1"/>
    <col min="12295" max="12295" width="25.42578125" style="3" customWidth="1"/>
    <col min="12296" max="12296" width="24.42578125" style="3" customWidth="1"/>
    <col min="12297" max="12297" width="11.42578125" style="3" bestFit="1" customWidth="1"/>
    <col min="12298" max="12298" width="16.140625" style="3" customWidth="1"/>
    <col min="12299" max="12299" width="15.42578125" style="3" customWidth="1"/>
    <col min="12300" max="12300" width="8.85546875" style="3"/>
    <col min="12301" max="12301" width="11" style="3" customWidth="1"/>
    <col min="12302" max="12545" width="8.85546875" style="3"/>
    <col min="12546" max="12546" width="23.140625" style="3" customWidth="1"/>
    <col min="12547" max="12547" width="17.28515625" style="3" customWidth="1"/>
    <col min="12548" max="12548" width="8.85546875" style="3"/>
    <col min="12549" max="12549" width="23.42578125" style="3" customWidth="1"/>
    <col min="12550" max="12550" width="19.7109375" style="3" customWidth="1"/>
    <col min="12551" max="12551" width="25.42578125" style="3" customWidth="1"/>
    <col min="12552" max="12552" width="24.42578125" style="3" customWidth="1"/>
    <col min="12553" max="12553" width="11.42578125" style="3" bestFit="1" customWidth="1"/>
    <col min="12554" max="12554" width="16.140625" style="3" customWidth="1"/>
    <col min="12555" max="12555" width="15.42578125" style="3" customWidth="1"/>
    <col min="12556" max="12556" width="8.85546875" style="3"/>
    <col min="12557" max="12557" width="11" style="3" customWidth="1"/>
    <col min="12558" max="12801" width="8.85546875" style="3"/>
    <col min="12802" max="12802" width="23.140625" style="3" customWidth="1"/>
    <col min="12803" max="12803" width="17.28515625" style="3" customWidth="1"/>
    <col min="12804" max="12804" width="8.85546875" style="3"/>
    <col min="12805" max="12805" width="23.42578125" style="3" customWidth="1"/>
    <col min="12806" max="12806" width="19.7109375" style="3" customWidth="1"/>
    <col min="12807" max="12807" width="25.42578125" style="3" customWidth="1"/>
    <col min="12808" max="12808" width="24.42578125" style="3" customWidth="1"/>
    <col min="12809" max="12809" width="11.42578125" style="3" bestFit="1" customWidth="1"/>
    <col min="12810" max="12810" width="16.140625" style="3" customWidth="1"/>
    <col min="12811" max="12811" width="15.42578125" style="3" customWidth="1"/>
    <col min="12812" max="12812" width="8.85546875" style="3"/>
    <col min="12813" max="12813" width="11" style="3" customWidth="1"/>
    <col min="12814" max="13057" width="8.85546875" style="3"/>
    <col min="13058" max="13058" width="23.140625" style="3" customWidth="1"/>
    <col min="13059" max="13059" width="17.28515625" style="3" customWidth="1"/>
    <col min="13060" max="13060" width="8.85546875" style="3"/>
    <col min="13061" max="13061" width="23.42578125" style="3" customWidth="1"/>
    <col min="13062" max="13062" width="19.7109375" style="3" customWidth="1"/>
    <col min="13063" max="13063" width="25.42578125" style="3" customWidth="1"/>
    <col min="13064" max="13064" width="24.42578125" style="3" customWidth="1"/>
    <col min="13065" max="13065" width="11.42578125" style="3" bestFit="1" customWidth="1"/>
    <col min="13066" max="13066" width="16.140625" style="3" customWidth="1"/>
    <col min="13067" max="13067" width="15.42578125" style="3" customWidth="1"/>
    <col min="13068" max="13068" width="8.85546875" style="3"/>
    <col min="13069" max="13069" width="11" style="3" customWidth="1"/>
    <col min="13070" max="13313" width="8.85546875" style="3"/>
    <col min="13314" max="13314" width="23.140625" style="3" customWidth="1"/>
    <col min="13315" max="13315" width="17.28515625" style="3" customWidth="1"/>
    <col min="13316" max="13316" width="8.85546875" style="3"/>
    <col min="13317" max="13317" width="23.42578125" style="3" customWidth="1"/>
    <col min="13318" max="13318" width="19.7109375" style="3" customWidth="1"/>
    <col min="13319" max="13319" width="25.42578125" style="3" customWidth="1"/>
    <col min="13320" max="13320" width="24.42578125" style="3" customWidth="1"/>
    <col min="13321" max="13321" width="11.42578125" style="3" bestFit="1" customWidth="1"/>
    <col min="13322" max="13322" width="16.140625" style="3" customWidth="1"/>
    <col min="13323" max="13323" width="15.42578125" style="3" customWidth="1"/>
    <col min="13324" max="13324" width="8.85546875" style="3"/>
    <col min="13325" max="13325" width="11" style="3" customWidth="1"/>
    <col min="13326" max="13569" width="8.85546875" style="3"/>
    <col min="13570" max="13570" width="23.140625" style="3" customWidth="1"/>
    <col min="13571" max="13571" width="17.28515625" style="3" customWidth="1"/>
    <col min="13572" max="13572" width="8.85546875" style="3"/>
    <col min="13573" max="13573" width="23.42578125" style="3" customWidth="1"/>
    <col min="13574" max="13574" width="19.7109375" style="3" customWidth="1"/>
    <col min="13575" max="13575" width="25.42578125" style="3" customWidth="1"/>
    <col min="13576" max="13576" width="24.42578125" style="3" customWidth="1"/>
    <col min="13577" max="13577" width="11.42578125" style="3" bestFit="1" customWidth="1"/>
    <col min="13578" max="13578" width="16.140625" style="3" customWidth="1"/>
    <col min="13579" max="13579" width="15.42578125" style="3" customWidth="1"/>
    <col min="13580" max="13580" width="8.85546875" style="3"/>
    <col min="13581" max="13581" width="11" style="3" customWidth="1"/>
    <col min="13582" max="13825" width="8.85546875" style="3"/>
    <col min="13826" max="13826" width="23.140625" style="3" customWidth="1"/>
    <col min="13827" max="13827" width="17.28515625" style="3" customWidth="1"/>
    <col min="13828" max="13828" width="8.85546875" style="3"/>
    <col min="13829" max="13829" width="23.42578125" style="3" customWidth="1"/>
    <col min="13830" max="13830" width="19.7109375" style="3" customWidth="1"/>
    <col min="13831" max="13831" width="25.42578125" style="3" customWidth="1"/>
    <col min="13832" max="13832" width="24.42578125" style="3" customWidth="1"/>
    <col min="13833" max="13833" width="11.42578125" style="3" bestFit="1" customWidth="1"/>
    <col min="13834" max="13834" width="16.140625" style="3" customWidth="1"/>
    <col min="13835" max="13835" width="15.42578125" style="3" customWidth="1"/>
    <col min="13836" max="13836" width="8.85546875" style="3"/>
    <col min="13837" max="13837" width="11" style="3" customWidth="1"/>
    <col min="13838" max="14081" width="8.85546875" style="3"/>
    <col min="14082" max="14082" width="23.140625" style="3" customWidth="1"/>
    <col min="14083" max="14083" width="17.28515625" style="3" customWidth="1"/>
    <col min="14084" max="14084" width="8.85546875" style="3"/>
    <col min="14085" max="14085" width="23.42578125" style="3" customWidth="1"/>
    <col min="14086" max="14086" width="19.7109375" style="3" customWidth="1"/>
    <col min="14087" max="14087" width="25.42578125" style="3" customWidth="1"/>
    <col min="14088" max="14088" width="24.42578125" style="3" customWidth="1"/>
    <col min="14089" max="14089" width="11.42578125" style="3" bestFit="1" customWidth="1"/>
    <col min="14090" max="14090" width="16.140625" style="3" customWidth="1"/>
    <col min="14091" max="14091" width="15.42578125" style="3" customWidth="1"/>
    <col min="14092" max="14092" width="8.85546875" style="3"/>
    <col min="14093" max="14093" width="11" style="3" customWidth="1"/>
    <col min="14094" max="14337" width="8.85546875" style="3"/>
    <col min="14338" max="14338" width="23.140625" style="3" customWidth="1"/>
    <col min="14339" max="14339" width="17.28515625" style="3" customWidth="1"/>
    <col min="14340" max="14340" width="8.85546875" style="3"/>
    <col min="14341" max="14341" width="23.42578125" style="3" customWidth="1"/>
    <col min="14342" max="14342" width="19.7109375" style="3" customWidth="1"/>
    <col min="14343" max="14343" width="25.42578125" style="3" customWidth="1"/>
    <col min="14344" max="14344" width="24.42578125" style="3" customWidth="1"/>
    <col min="14345" max="14345" width="11.42578125" style="3" bestFit="1" customWidth="1"/>
    <col min="14346" max="14346" width="16.140625" style="3" customWidth="1"/>
    <col min="14347" max="14347" width="15.42578125" style="3" customWidth="1"/>
    <col min="14348" max="14348" width="8.85546875" style="3"/>
    <col min="14349" max="14349" width="11" style="3" customWidth="1"/>
    <col min="14350" max="14593" width="8.85546875" style="3"/>
    <col min="14594" max="14594" width="23.140625" style="3" customWidth="1"/>
    <col min="14595" max="14595" width="17.28515625" style="3" customWidth="1"/>
    <col min="14596" max="14596" width="8.85546875" style="3"/>
    <col min="14597" max="14597" width="23.42578125" style="3" customWidth="1"/>
    <col min="14598" max="14598" width="19.7109375" style="3" customWidth="1"/>
    <col min="14599" max="14599" width="25.42578125" style="3" customWidth="1"/>
    <col min="14600" max="14600" width="24.42578125" style="3" customWidth="1"/>
    <col min="14601" max="14601" width="11.42578125" style="3" bestFit="1" customWidth="1"/>
    <col min="14602" max="14602" width="16.140625" style="3" customWidth="1"/>
    <col min="14603" max="14603" width="15.42578125" style="3" customWidth="1"/>
    <col min="14604" max="14604" width="8.85546875" style="3"/>
    <col min="14605" max="14605" width="11" style="3" customWidth="1"/>
    <col min="14606" max="14849" width="8.85546875" style="3"/>
    <col min="14850" max="14850" width="23.140625" style="3" customWidth="1"/>
    <col min="14851" max="14851" width="17.28515625" style="3" customWidth="1"/>
    <col min="14852" max="14852" width="8.85546875" style="3"/>
    <col min="14853" max="14853" width="23.42578125" style="3" customWidth="1"/>
    <col min="14854" max="14854" width="19.7109375" style="3" customWidth="1"/>
    <col min="14855" max="14855" width="25.42578125" style="3" customWidth="1"/>
    <col min="14856" max="14856" width="24.42578125" style="3" customWidth="1"/>
    <col min="14857" max="14857" width="11.42578125" style="3" bestFit="1" customWidth="1"/>
    <col min="14858" max="14858" width="16.140625" style="3" customWidth="1"/>
    <col min="14859" max="14859" width="15.42578125" style="3" customWidth="1"/>
    <col min="14860" max="14860" width="8.85546875" style="3"/>
    <col min="14861" max="14861" width="11" style="3" customWidth="1"/>
    <col min="14862" max="15105" width="8.85546875" style="3"/>
    <col min="15106" max="15106" width="23.140625" style="3" customWidth="1"/>
    <col min="15107" max="15107" width="17.28515625" style="3" customWidth="1"/>
    <col min="15108" max="15108" width="8.85546875" style="3"/>
    <col min="15109" max="15109" width="23.42578125" style="3" customWidth="1"/>
    <col min="15110" max="15110" width="19.7109375" style="3" customWidth="1"/>
    <col min="15111" max="15111" width="25.42578125" style="3" customWidth="1"/>
    <col min="15112" max="15112" width="24.42578125" style="3" customWidth="1"/>
    <col min="15113" max="15113" width="11.42578125" style="3" bestFit="1" customWidth="1"/>
    <col min="15114" max="15114" width="16.140625" style="3" customWidth="1"/>
    <col min="15115" max="15115" width="15.42578125" style="3" customWidth="1"/>
    <col min="15116" max="15116" width="8.85546875" style="3"/>
    <col min="15117" max="15117" width="11" style="3" customWidth="1"/>
    <col min="15118" max="15361" width="8.85546875" style="3"/>
    <col min="15362" max="15362" width="23.140625" style="3" customWidth="1"/>
    <col min="15363" max="15363" width="17.28515625" style="3" customWidth="1"/>
    <col min="15364" max="15364" width="8.85546875" style="3"/>
    <col min="15365" max="15365" width="23.42578125" style="3" customWidth="1"/>
    <col min="15366" max="15366" width="19.7109375" style="3" customWidth="1"/>
    <col min="15367" max="15367" width="25.42578125" style="3" customWidth="1"/>
    <col min="15368" max="15368" width="24.42578125" style="3" customWidth="1"/>
    <col min="15369" max="15369" width="11.42578125" style="3" bestFit="1" customWidth="1"/>
    <col min="15370" max="15370" width="16.140625" style="3" customWidth="1"/>
    <col min="15371" max="15371" width="15.42578125" style="3" customWidth="1"/>
    <col min="15372" max="15372" width="8.85546875" style="3"/>
    <col min="15373" max="15373" width="11" style="3" customWidth="1"/>
    <col min="15374" max="15617" width="8.85546875" style="3"/>
    <col min="15618" max="15618" width="23.140625" style="3" customWidth="1"/>
    <col min="15619" max="15619" width="17.28515625" style="3" customWidth="1"/>
    <col min="15620" max="15620" width="8.85546875" style="3"/>
    <col min="15621" max="15621" width="23.42578125" style="3" customWidth="1"/>
    <col min="15622" max="15622" width="19.7109375" style="3" customWidth="1"/>
    <col min="15623" max="15623" width="25.42578125" style="3" customWidth="1"/>
    <col min="15624" max="15624" width="24.42578125" style="3" customWidth="1"/>
    <col min="15625" max="15625" width="11.42578125" style="3" bestFit="1" customWidth="1"/>
    <col min="15626" max="15626" width="16.140625" style="3" customWidth="1"/>
    <col min="15627" max="15627" width="15.42578125" style="3" customWidth="1"/>
    <col min="15628" max="15628" width="8.85546875" style="3"/>
    <col min="15629" max="15629" width="11" style="3" customWidth="1"/>
    <col min="15630" max="15873" width="8.85546875" style="3"/>
    <col min="15874" max="15874" width="23.140625" style="3" customWidth="1"/>
    <col min="15875" max="15875" width="17.28515625" style="3" customWidth="1"/>
    <col min="15876" max="15876" width="8.85546875" style="3"/>
    <col min="15877" max="15877" width="23.42578125" style="3" customWidth="1"/>
    <col min="15878" max="15878" width="19.7109375" style="3" customWidth="1"/>
    <col min="15879" max="15879" width="25.42578125" style="3" customWidth="1"/>
    <col min="15880" max="15880" width="24.42578125" style="3" customWidth="1"/>
    <col min="15881" max="15881" width="11.42578125" style="3" bestFit="1" customWidth="1"/>
    <col min="15882" max="15882" width="16.140625" style="3" customWidth="1"/>
    <col min="15883" max="15883" width="15.42578125" style="3" customWidth="1"/>
    <col min="15884" max="15884" width="8.85546875" style="3"/>
    <col min="15885" max="15885" width="11" style="3" customWidth="1"/>
    <col min="15886" max="16129" width="8.85546875" style="3"/>
    <col min="16130" max="16130" width="23.140625" style="3" customWidth="1"/>
    <col min="16131" max="16131" width="17.28515625" style="3" customWidth="1"/>
    <col min="16132" max="16132" width="8.85546875" style="3"/>
    <col min="16133" max="16133" width="23.42578125" style="3" customWidth="1"/>
    <col min="16134" max="16134" width="19.7109375" style="3" customWidth="1"/>
    <col min="16135" max="16135" width="25.42578125" style="3" customWidth="1"/>
    <col min="16136" max="16136" width="24.42578125" style="3" customWidth="1"/>
    <col min="16137" max="16137" width="11.42578125" style="3" bestFit="1" customWidth="1"/>
    <col min="16138" max="16138" width="16.140625" style="3" customWidth="1"/>
    <col min="16139" max="16139" width="15.42578125" style="3" customWidth="1"/>
    <col min="16140" max="16140" width="8.85546875" style="3"/>
    <col min="16141" max="16141" width="11" style="3" customWidth="1"/>
    <col min="16142" max="16384" width="8.85546875" style="3"/>
  </cols>
  <sheetData>
    <row r="2" spans="1:25" x14ac:dyDescent="0.2">
      <c r="B2" s="2" t="s">
        <v>13</v>
      </c>
    </row>
    <row r="3" spans="1:25" x14ac:dyDescent="0.2">
      <c r="B3" s="76" t="s">
        <v>191</v>
      </c>
      <c r="W3" s="3"/>
      <c r="X3" s="3"/>
      <c r="Y3" s="3"/>
    </row>
    <row r="4" spans="1:25" x14ac:dyDescent="0.2">
      <c r="B4" s="11" t="s">
        <v>205</v>
      </c>
      <c r="W4" s="3"/>
      <c r="X4" s="3"/>
      <c r="Y4" s="3"/>
    </row>
    <row r="5" spans="1:25" s="76" customFormat="1" ht="5.0999999999999996" customHeight="1" x14ac:dyDescent="0.2">
      <c r="A5" s="11"/>
      <c r="B5" s="11"/>
      <c r="C5" s="11"/>
      <c r="D5" s="11"/>
      <c r="E5" s="11"/>
      <c r="F5" s="10"/>
      <c r="G5" s="10"/>
      <c r="H5" s="10"/>
      <c r="I5" s="10"/>
      <c r="J5" s="10"/>
      <c r="K5" s="10"/>
      <c r="L5" s="10"/>
      <c r="M5" s="10"/>
      <c r="N5" s="10"/>
      <c r="O5" s="10"/>
      <c r="P5" s="10"/>
      <c r="Q5" s="10"/>
      <c r="R5" s="10"/>
      <c r="S5" s="10"/>
      <c r="T5" s="10"/>
      <c r="U5" s="10"/>
      <c r="V5" s="10"/>
    </row>
    <row r="6" spans="1:25" s="65" customFormat="1" x14ac:dyDescent="0.2">
      <c r="A6" s="11"/>
      <c r="B6" s="12" t="s">
        <v>56</v>
      </c>
      <c r="C6" s="14"/>
      <c r="D6" s="19" t="s">
        <v>14</v>
      </c>
      <c r="E6" s="16"/>
      <c r="F6" s="10"/>
      <c r="G6" s="10"/>
      <c r="H6" s="10"/>
    </row>
    <row r="7" spans="1:25" s="66" customFormat="1" x14ac:dyDescent="0.2">
      <c r="A7" s="11"/>
      <c r="B7" s="82" t="s">
        <v>75</v>
      </c>
      <c r="C7" s="83">
        <v>8.9</v>
      </c>
      <c r="D7" s="84" t="s">
        <v>64</v>
      </c>
      <c r="E7" s="23"/>
      <c r="F7" s="10"/>
      <c r="G7" s="10"/>
      <c r="H7" s="10"/>
    </row>
    <row r="8" spans="1:25" s="73" customFormat="1" x14ac:dyDescent="0.2">
      <c r="A8" s="11"/>
      <c r="B8" s="85" t="s">
        <v>206</v>
      </c>
      <c r="C8" s="89">
        <v>73452</v>
      </c>
      <c r="D8" s="23" t="s">
        <v>183</v>
      </c>
      <c r="E8" s="23"/>
      <c r="F8" s="10"/>
      <c r="G8" s="10"/>
      <c r="H8" s="10"/>
    </row>
    <row r="9" spans="1:25" s="73" customFormat="1" x14ac:dyDescent="0.2">
      <c r="A9" s="11"/>
      <c r="B9" s="85" t="s">
        <v>78</v>
      </c>
      <c r="C9" s="89">
        <v>546800</v>
      </c>
      <c r="D9" s="23" t="s">
        <v>183</v>
      </c>
      <c r="E9" s="23"/>
      <c r="F9" s="10"/>
      <c r="G9" s="10"/>
      <c r="H9" s="10"/>
    </row>
    <row r="10" spans="1:25" s="73" customFormat="1" x14ac:dyDescent="0.2">
      <c r="A10" s="11"/>
      <c r="B10" s="85" t="s">
        <v>77</v>
      </c>
      <c r="C10" s="89">
        <v>89490</v>
      </c>
      <c r="D10" s="23" t="s">
        <v>183</v>
      </c>
      <c r="E10" s="23"/>
      <c r="F10" s="10"/>
      <c r="G10" s="10"/>
      <c r="H10" s="10"/>
    </row>
    <row r="11" spans="1:25" s="73" customFormat="1" x14ac:dyDescent="0.2">
      <c r="A11" s="11"/>
      <c r="B11" s="86" t="s">
        <v>76</v>
      </c>
      <c r="C11" s="90">
        <v>85320</v>
      </c>
      <c r="D11" s="81" t="s">
        <v>183</v>
      </c>
      <c r="E11" s="23"/>
      <c r="F11" s="10"/>
      <c r="G11" s="10"/>
      <c r="H11" s="10"/>
    </row>
    <row r="12" spans="1:25" s="66" customFormat="1" x14ac:dyDescent="0.2">
      <c r="A12" s="11"/>
      <c r="B12" s="85" t="s">
        <v>178</v>
      </c>
      <c r="C12" s="87">
        <v>1117000</v>
      </c>
      <c r="D12" s="23" t="s">
        <v>74</v>
      </c>
      <c r="E12" s="23"/>
      <c r="F12" s="10"/>
      <c r="G12" s="10"/>
      <c r="H12" s="10"/>
    </row>
    <row r="13" spans="1:25" s="66" customFormat="1" x14ac:dyDescent="0.2">
      <c r="A13" s="11"/>
      <c r="B13" s="85" t="s">
        <v>179</v>
      </c>
      <c r="C13" s="87">
        <v>5919000</v>
      </c>
      <c r="D13" s="23" t="s">
        <v>74</v>
      </c>
      <c r="E13" s="23"/>
      <c r="F13" s="10"/>
      <c r="G13" s="10"/>
      <c r="H13" s="10"/>
    </row>
    <row r="14" spans="1:25" s="66" customFormat="1" x14ac:dyDescent="0.2">
      <c r="A14" s="11"/>
      <c r="B14" s="85" t="s">
        <v>180</v>
      </c>
      <c r="C14" s="87">
        <v>629000</v>
      </c>
      <c r="D14" s="23" t="s">
        <v>74</v>
      </c>
      <c r="E14" s="23"/>
      <c r="F14" s="10"/>
      <c r="G14" s="10"/>
      <c r="H14" s="10"/>
    </row>
    <row r="15" spans="1:25" s="66" customFormat="1" x14ac:dyDescent="0.2">
      <c r="A15" s="11"/>
      <c r="B15" s="86" t="s">
        <v>181</v>
      </c>
      <c r="C15" s="88">
        <v>372000</v>
      </c>
      <c r="D15" s="81" t="s">
        <v>74</v>
      </c>
      <c r="E15" s="23"/>
      <c r="F15" s="10"/>
      <c r="G15" s="10"/>
      <c r="H15" s="10"/>
    </row>
    <row r="16" spans="1:25" s="65" customFormat="1" x14ac:dyDescent="0.2">
      <c r="A16" s="11"/>
      <c r="B16" s="12" t="s">
        <v>182</v>
      </c>
      <c r="C16" s="80">
        <v>8037000</v>
      </c>
      <c r="D16" s="19" t="s">
        <v>74</v>
      </c>
      <c r="E16" s="19"/>
      <c r="F16" s="10"/>
      <c r="G16" s="10"/>
      <c r="H16" s="10"/>
    </row>
    <row r="17" spans="1:8" s="65" customFormat="1" ht="5.0999999999999996" customHeight="1" x14ac:dyDescent="0.2">
      <c r="A17" s="11"/>
      <c r="C17" s="11"/>
      <c r="D17" s="11"/>
      <c r="E17" s="11"/>
      <c r="F17" s="10"/>
      <c r="G17" s="10"/>
      <c r="H17" s="10"/>
    </row>
    <row r="18" spans="1:8" s="65" customFormat="1" x14ac:dyDescent="0.2">
      <c r="A18" s="11"/>
      <c r="B18" s="12" t="s">
        <v>57</v>
      </c>
      <c r="C18" s="14"/>
      <c r="D18" s="14" t="s">
        <v>14</v>
      </c>
      <c r="E18" s="14"/>
      <c r="F18" s="10"/>
      <c r="G18" s="10"/>
      <c r="H18" s="10"/>
    </row>
    <row r="19" spans="1:8" s="65" customFormat="1" x14ac:dyDescent="0.2">
      <c r="A19" s="11"/>
      <c r="B19" s="65" t="s">
        <v>79</v>
      </c>
      <c r="C19" s="69">
        <v>334837405</v>
      </c>
      <c r="D19" s="11" t="s">
        <v>70</v>
      </c>
      <c r="E19" s="11"/>
      <c r="F19" s="10"/>
      <c r="G19" s="10"/>
      <c r="H19" s="10"/>
    </row>
    <row r="20" spans="1:8" s="65" customFormat="1" x14ac:dyDescent="0.2">
      <c r="A20" s="11"/>
      <c r="B20" s="9" t="s">
        <v>71</v>
      </c>
      <c r="C20" s="70">
        <v>0.05</v>
      </c>
      <c r="D20" s="14" t="s">
        <v>73</v>
      </c>
      <c r="E20" s="14"/>
      <c r="F20" s="10"/>
      <c r="G20" s="10"/>
      <c r="H20" s="10"/>
    </row>
    <row r="21" spans="1:8" s="66" customFormat="1" x14ac:dyDescent="0.2">
      <c r="A21" s="11"/>
      <c r="B21" s="12" t="s">
        <v>72</v>
      </c>
      <c r="C21" s="75">
        <f>C19*C20</f>
        <v>16741870.25</v>
      </c>
      <c r="D21" s="19" t="s">
        <v>74</v>
      </c>
      <c r="E21" s="19"/>
      <c r="F21" s="10"/>
      <c r="G21" s="10"/>
      <c r="H21" s="10"/>
    </row>
    <row r="22" spans="1:8" s="65" customFormat="1" x14ac:dyDescent="0.2">
      <c r="A22" s="11"/>
      <c r="B22" s="11"/>
      <c r="C22" s="11"/>
      <c r="D22" s="11"/>
      <c r="E22" s="11"/>
      <c r="F22" s="10"/>
      <c r="G22" s="10"/>
      <c r="H22" s="10"/>
    </row>
  </sheetData>
  <phoneticPr fontId="19" type="noConversion"/>
  <pageMargins left="0.25" right="0.25" top="0.75" bottom="0.75" header="0.3" footer="0.3"/>
  <pageSetup firstPageNumber="1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H9"/>
  <sheetViews>
    <sheetView showGridLines="0" view="pageBreakPreview" zoomScaleNormal="120" zoomScaleSheetLayoutView="100" workbookViewId="0"/>
  </sheetViews>
  <sheetFormatPr defaultColWidth="8.85546875" defaultRowHeight="14.25" x14ac:dyDescent="0.2"/>
  <cols>
    <col min="1" max="1" width="4.7109375" style="3" customWidth="1"/>
    <col min="2" max="2" width="13.7109375" style="3" customWidth="1"/>
    <col min="3" max="3" width="11.7109375" style="3" customWidth="1"/>
    <col min="4" max="4" width="16.7109375" style="3" customWidth="1"/>
    <col min="5" max="5" width="14.7109375" style="3" customWidth="1"/>
    <col min="6" max="6" width="12.7109375" style="3" customWidth="1"/>
    <col min="7" max="7" width="12.28515625" style="3" customWidth="1"/>
    <col min="8" max="8" width="8.28515625" style="3" customWidth="1"/>
    <col min="9" max="9" width="6.85546875" style="3" customWidth="1"/>
    <col min="10" max="10" width="13.85546875" style="3" customWidth="1"/>
    <col min="11" max="16384" width="8.85546875" style="3"/>
  </cols>
  <sheetData>
    <row r="2" spans="2:8" ht="14.25" customHeight="1" x14ac:dyDescent="0.2">
      <c r="B2" s="2" t="s">
        <v>13</v>
      </c>
    </row>
    <row r="3" spans="2:8" ht="14.25" customHeight="1" x14ac:dyDescent="0.2">
      <c r="B3" s="22" t="s">
        <v>191</v>
      </c>
    </row>
    <row r="4" spans="2:8" ht="14.25" customHeight="1" x14ac:dyDescent="0.2">
      <c r="B4" s="3" t="s">
        <v>16</v>
      </c>
    </row>
    <row r="5" spans="2:8" ht="5.0999999999999996" customHeight="1" x14ac:dyDescent="0.2">
      <c r="B5" s="9"/>
      <c r="C5" s="9"/>
      <c r="D5" s="9"/>
      <c r="E5" s="9"/>
      <c r="F5" s="9"/>
      <c r="G5" s="9"/>
      <c r="H5" s="9"/>
    </row>
    <row r="6" spans="2:8" s="17" customFormat="1" ht="51" x14ac:dyDescent="0.2">
      <c r="B6" s="106" t="s">
        <v>18</v>
      </c>
      <c r="C6" s="106" t="s">
        <v>7</v>
      </c>
      <c r="D6" s="106" t="s">
        <v>8</v>
      </c>
      <c r="E6" s="106" t="s">
        <v>9</v>
      </c>
      <c r="F6" s="106" t="s">
        <v>10</v>
      </c>
      <c r="G6" s="106" t="s">
        <v>11</v>
      </c>
      <c r="H6" s="106" t="s">
        <v>12</v>
      </c>
    </row>
    <row r="7" spans="2:8" s="76" customFormat="1" ht="189" customHeight="1" x14ac:dyDescent="0.2">
      <c r="B7" s="104" t="s">
        <v>140</v>
      </c>
      <c r="C7" s="104" t="s">
        <v>131</v>
      </c>
      <c r="D7" s="104" t="s">
        <v>141</v>
      </c>
      <c r="E7" s="104" t="s">
        <v>142</v>
      </c>
      <c r="F7" s="105" t="s">
        <v>143</v>
      </c>
      <c r="G7" s="103" t="s">
        <v>318</v>
      </c>
      <c r="H7" s="523" t="s">
        <v>1120</v>
      </c>
    </row>
    <row r="8" spans="2:8" ht="203.25" customHeight="1" x14ac:dyDescent="0.2">
      <c r="B8" s="104" t="s">
        <v>144</v>
      </c>
      <c r="C8" s="104" t="s">
        <v>145</v>
      </c>
      <c r="D8" s="104" t="s">
        <v>149</v>
      </c>
      <c r="E8" s="104" t="s">
        <v>146</v>
      </c>
      <c r="F8" s="104" t="s">
        <v>147</v>
      </c>
      <c r="G8" s="107" t="s">
        <v>132</v>
      </c>
      <c r="H8" s="523" t="s">
        <v>1121</v>
      </c>
    </row>
    <row r="9" spans="2:8" s="76" customFormat="1" ht="107.25" customHeight="1" x14ac:dyDescent="0.2">
      <c r="B9" s="104" t="s">
        <v>129</v>
      </c>
      <c r="C9" s="104" t="s">
        <v>148</v>
      </c>
      <c r="D9" s="104" t="s">
        <v>126</v>
      </c>
      <c r="E9" s="104" t="s">
        <v>127</v>
      </c>
      <c r="F9" s="104" t="s">
        <v>128</v>
      </c>
      <c r="G9" s="107" t="s">
        <v>130</v>
      </c>
      <c r="H9" s="523" t="s">
        <v>1122</v>
      </c>
    </row>
  </sheetData>
  <pageMargins left="0.25" right="0.2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Z30"/>
  <sheetViews>
    <sheetView showGridLines="0" view="pageBreakPreview" zoomScale="110" zoomScaleNormal="100" zoomScaleSheetLayoutView="110" workbookViewId="0"/>
  </sheetViews>
  <sheetFormatPr defaultColWidth="8.85546875" defaultRowHeight="14.25" x14ac:dyDescent="0.2"/>
  <cols>
    <col min="1" max="1" width="8.85546875" style="11"/>
    <col min="2" max="2" width="40.7109375" style="11" customWidth="1"/>
    <col min="3" max="4" width="15.7109375" style="11" customWidth="1"/>
    <col min="5" max="5" width="20.7109375" style="11" customWidth="1"/>
    <col min="6" max="6" width="29.85546875" style="11" customWidth="1"/>
    <col min="7" max="7" width="41.85546875" style="10" bestFit="1" customWidth="1"/>
    <col min="8" max="8" width="25.42578125" style="10" customWidth="1"/>
    <col min="9" max="9" width="24.42578125" style="10" customWidth="1"/>
    <col min="10" max="10" width="11.42578125" style="10" bestFit="1" customWidth="1"/>
    <col min="11" max="11" width="16.140625" style="10" customWidth="1"/>
    <col min="12" max="12" width="15.42578125" style="10" customWidth="1"/>
    <col min="13" max="13" width="8.85546875" style="10"/>
    <col min="14" max="14" width="11" style="10" customWidth="1"/>
    <col min="15" max="15" width="14" style="10" customWidth="1"/>
    <col min="16" max="16" width="24.140625" style="10" bestFit="1" customWidth="1"/>
    <col min="17" max="17" width="56.140625" style="10" bestFit="1" customWidth="1"/>
    <col min="18" max="26" width="8.85546875" style="10"/>
    <col min="27" max="258" width="8.85546875" style="76"/>
    <col min="259" max="259" width="23.140625" style="76" customWidth="1"/>
    <col min="260" max="260" width="17.28515625" style="76" customWidth="1"/>
    <col min="261" max="261" width="8.85546875" style="76"/>
    <col min="262" max="262" width="23.42578125" style="76" customWidth="1"/>
    <col min="263" max="263" width="19.7109375" style="76" customWidth="1"/>
    <col min="264" max="264" width="25.42578125" style="76" customWidth="1"/>
    <col min="265" max="265" width="24.42578125" style="76" customWidth="1"/>
    <col min="266" max="266" width="11.42578125" style="76" bestFit="1" customWidth="1"/>
    <col min="267" max="267" width="16.140625" style="76" customWidth="1"/>
    <col min="268" max="268" width="15.42578125" style="76" customWidth="1"/>
    <col min="269" max="269" width="8.85546875" style="76"/>
    <col min="270" max="270" width="11" style="76" customWidth="1"/>
    <col min="271" max="514" width="8.85546875" style="76"/>
    <col min="515" max="515" width="23.140625" style="76" customWidth="1"/>
    <col min="516" max="516" width="17.28515625" style="76" customWidth="1"/>
    <col min="517" max="517" width="8.85546875" style="76"/>
    <col min="518" max="518" width="23.42578125" style="76" customWidth="1"/>
    <col min="519" max="519" width="19.7109375" style="76" customWidth="1"/>
    <col min="520" max="520" width="25.42578125" style="76" customWidth="1"/>
    <col min="521" max="521" width="24.42578125" style="76" customWidth="1"/>
    <col min="522" max="522" width="11.42578125" style="76" bestFit="1" customWidth="1"/>
    <col min="523" max="523" width="16.140625" style="76" customWidth="1"/>
    <col min="524" max="524" width="15.42578125" style="76" customWidth="1"/>
    <col min="525" max="525" width="8.85546875" style="76"/>
    <col min="526" max="526" width="11" style="76" customWidth="1"/>
    <col min="527" max="770" width="8.85546875" style="76"/>
    <col min="771" max="771" width="23.140625" style="76" customWidth="1"/>
    <col min="772" max="772" width="17.28515625" style="76" customWidth="1"/>
    <col min="773" max="773" width="8.85546875" style="76"/>
    <col min="774" max="774" width="23.42578125" style="76" customWidth="1"/>
    <col min="775" max="775" width="19.7109375" style="76" customWidth="1"/>
    <col min="776" max="776" width="25.42578125" style="76" customWidth="1"/>
    <col min="777" max="777" width="24.42578125" style="76" customWidth="1"/>
    <col min="778" max="778" width="11.42578125" style="76" bestFit="1" customWidth="1"/>
    <col min="779" max="779" width="16.140625" style="76" customWidth="1"/>
    <col min="780" max="780" width="15.42578125" style="76" customWidth="1"/>
    <col min="781" max="781" width="8.85546875" style="76"/>
    <col min="782" max="782" width="11" style="76" customWidth="1"/>
    <col min="783" max="1026" width="8.85546875" style="76"/>
    <col min="1027" max="1027" width="23.140625" style="76" customWidth="1"/>
    <col min="1028" max="1028" width="17.28515625" style="76" customWidth="1"/>
    <col min="1029" max="1029" width="8.85546875" style="76"/>
    <col min="1030" max="1030" width="23.42578125" style="76" customWidth="1"/>
    <col min="1031" max="1031" width="19.7109375" style="76" customWidth="1"/>
    <col min="1032" max="1032" width="25.42578125" style="76" customWidth="1"/>
    <col min="1033" max="1033" width="24.42578125" style="76" customWidth="1"/>
    <col min="1034" max="1034" width="11.42578125" style="76" bestFit="1" customWidth="1"/>
    <col min="1035" max="1035" width="16.140625" style="76" customWidth="1"/>
    <col min="1036" max="1036" width="15.42578125" style="76" customWidth="1"/>
    <col min="1037" max="1037" width="8.85546875" style="76"/>
    <col min="1038" max="1038" width="11" style="76" customWidth="1"/>
    <col min="1039" max="1282" width="8.85546875" style="76"/>
    <col min="1283" max="1283" width="23.140625" style="76" customWidth="1"/>
    <col min="1284" max="1284" width="17.28515625" style="76" customWidth="1"/>
    <col min="1285" max="1285" width="8.85546875" style="76"/>
    <col min="1286" max="1286" width="23.42578125" style="76" customWidth="1"/>
    <col min="1287" max="1287" width="19.7109375" style="76" customWidth="1"/>
    <col min="1288" max="1288" width="25.42578125" style="76" customWidth="1"/>
    <col min="1289" max="1289" width="24.42578125" style="76" customWidth="1"/>
    <col min="1290" max="1290" width="11.42578125" style="76" bestFit="1" customWidth="1"/>
    <col min="1291" max="1291" width="16.140625" style="76" customWidth="1"/>
    <col min="1292" max="1292" width="15.42578125" style="76" customWidth="1"/>
    <col min="1293" max="1293" width="8.85546875" style="76"/>
    <col min="1294" max="1294" width="11" style="76" customWidth="1"/>
    <col min="1295" max="1538" width="8.85546875" style="76"/>
    <col min="1539" max="1539" width="23.140625" style="76" customWidth="1"/>
    <col min="1540" max="1540" width="17.28515625" style="76" customWidth="1"/>
    <col min="1541" max="1541" width="8.85546875" style="76"/>
    <col min="1542" max="1542" width="23.42578125" style="76" customWidth="1"/>
    <col min="1543" max="1543" width="19.7109375" style="76" customWidth="1"/>
    <col min="1544" max="1544" width="25.42578125" style="76" customWidth="1"/>
    <col min="1545" max="1545" width="24.42578125" style="76" customWidth="1"/>
    <col min="1546" max="1546" width="11.42578125" style="76" bestFit="1" customWidth="1"/>
    <col min="1547" max="1547" width="16.140625" style="76" customWidth="1"/>
    <col min="1548" max="1548" width="15.42578125" style="76" customWidth="1"/>
    <col min="1549" max="1549" width="8.85546875" style="76"/>
    <col min="1550" max="1550" width="11" style="76" customWidth="1"/>
    <col min="1551" max="1794" width="8.85546875" style="76"/>
    <col min="1795" max="1795" width="23.140625" style="76" customWidth="1"/>
    <col min="1796" max="1796" width="17.28515625" style="76" customWidth="1"/>
    <col min="1797" max="1797" width="8.85546875" style="76"/>
    <col min="1798" max="1798" width="23.42578125" style="76" customWidth="1"/>
    <col min="1799" max="1799" width="19.7109375" style="76" customWidth="1"/>
    <col min="1800" max="1800" width="25.42578125" style="76" customWidth="1"/>
    <col min="1801" max="1801" width="24.42578125" style="76" customWidth="1"/>
    <col min="1802" max="1802" width="11.42578125" style="76" bestFit="1" customWidth="1"/>
    <col min="1803" max="1803" width="16.140625" style="76" customWidth="1"/>
    <col min="1804" max="1804" width="15.42578125" style="76" customWidth="1"/>
    <col min="1805" max="1805" width="8.85546875" style="76"/>
    <col min="1806" max="1806" width="11" style="76" customWidth="1"/>
    <col min="1807" max="2050" width="8.85546875" style="76"/>
    <col min="2051" max="2051" width="23.140625" style="76" customWidth="1"/>
    <col min="2052" max="2052" width="17.28515625" style="76" customWidth="1"/>
    <col min="2053" max="2053" width="8.85546875" style="76"/>
    <col min="2054" max="2054" width="23.42578125" style="76" customWidth="1"/>
    <col min="2055" max="2055" width="19.7109375" style="76" customWidth="1"/>
    <col min="2056" max="2056" width="25.42578125" style="76" customWidth="1"/>
    <col min="2057" max="2057" width="24.42578125" style="76" customWidth="1"/>
    <col min="2058" max="2058" width="11.42578125" style="76" bestFit="1" customWidth="1"/>
    <col min="2059" max="2059" width="16.140625" style="76" customWidth="1"/>
    <col min="2060" max="2060" width="15.42578125" style="76" customWidth="1"/>
    <col min="2061" max="2061" width="8.85546875" style="76"/>
    <col min="2062" max="2062" width="11" style="76" customWidth="1"/>
    <col min="2063" max="2306" width="8.85546875" style="76"/>
    <col min="2307" max="2307" width="23.140625" style="76" customWidth="1"/>
    <col min="2308" max="2308" width="17.28515625" style="76" customWidth="1"/>
    <col min="2309" max="2309" width="8.85546875" style="76"/>
    <col min="2310" max="2310" width="23.42578125" style="76" customWidth="1"/>
    <col min="2311" max="2311" width="19.7109375" style="76" customWidth="1"/>
    <col min="2312" max="2312" width="25.42578125" style="76" customWidth="1"/>
    <col min="2313" max="2313" width="24.42578125" style="76" customWidth="1"/>
    <col min="2314" max="2314" width="11.42578125" style="76" bestFit="1" customWidth="1"/>
    <col min="2315" max="2315" width="16.140625" style="76" customWidth="1"/>
    <col min="2316" max="2316" width="15.42578125" style="76" customWidth="1"/>
    <col min="2317" max="2317" width="8.85546875" style="76"/>
    <col min="2318" max="2318" width="11" style="76" customWidth="1"/>
    <col min="2319" max="2562" width="8.85546875" style="76"/>
    <col min="2563" max="2563" width="23.140625" style="76" customWidth="1"/>
    <col min="2564" max="2564" width="17.28515625" style="76" customWidth="1"/>
    <col min="2565" max="2565" width="8.85546875" style="76"/>
    <col min="2566" max="2566" width="23.42578125" style="76" customWidth="1"/>
    <col min="2567" max="2567" width="19.7109375" style="76" customWidth="1"/>
    <col min="2568" max="2568" width="25.42578125" style="76" customWidth="1"/>
    <col min="2569" max="2569" width="24.42578125" style="76" customWidth="1"/>
    <col min="2570" max="2570" width="11.42578125" style="76" bestFit="1" customWidth="1"/>
    <col min="2571" max="2571" width="16.140625" style="76" customWidth="1"/>
    <col min="2572" max="2572" width="15.42578125" style="76" customWidth="1"/>
    <col min="2573" max="2573" width="8.85546875" style="76"/>
    <col min="2574" max="2574" width="11" style="76" customWidth="1"/>
    <col min="2575" max="2818" width="8.85546875" style="76"/>
    <col min="2819" max="2819" width="23.140625" style="76" customWidth="1"/>
    <col min="2820" max="2820" width="17.28515625" style="76" customWidth="1"/>
    <col min="2821" max="2821" width="8.85546875" style="76"/>
    <col min="2822" max="2822" width="23.42578125" style="76" customWidth="1"/>
    <col min="2823" max="2823" width="19.7109375" style="76" customWidth="1"/>
    <col min="2824" max="2824" width="25.42578125" style="76" customWidth="1"/>
    <col min="2825" max="2825" width="24.42578125" style="76" customWidth="1"/>
    <col min="2826" max="2826" width="11.42578125" style="76" bestFit="1" customWidth="1"/>
    <col min="2827" max="2827" width="16.140625" style="76" customWidth="1"/>
    <col min="2828" max="2828" width="15.42578125" style="76" customWidth="1"/>
    <col min="2829" max="2829" width="8.85546875" style="76"/>
    <col min="2830" max="2830" width="11" style="76" customWidth="1"/>
    <col min="2831" max="3074" width="8.85546875" style="76"/>
    <col min="3075" max="3075" width="23.140625" style="76" customWidth="1"/>
    <col min="3076" max="3076" width="17.28515625" style="76" customWidth="1"/>
    <col min="3077" max="3077" width="8.85546875" style="76"/>
    <col min="3078" max="3078" width="23.42578125" style="76" customWidth="1"/>
    <col min="3079" max="3079" width="19.7109375" style="76" customWidth="1"/>
    <col min="3080" max="3080" width="25.42578125" style="76" customWidth="1"/>
    <col min="3081" max="3081" width="24.42578125" style="76" customWidth="1"/>
    <col min="3082" max="3082" width="11.42578125" style="76" bestFit="1" customWidth="1"/>
    <col min="3083" max="3083" width="16.140625" style="76" customWidth="1"/>
    <col min="3084" max="3084" width="15.42578125" style="76" customWidth="1"/>
    <col min="3085" max="3085" width="8.85546875" style="76"/>
    <col min="3086" max="3086" width="11" style="76" customWidth="1"/>
    <col min="3087" max="3330" width="8.85546875" style="76"/>
    <col min="3331" max="3331" width="23.140625" style="76" customWidth="1"/>
    <col min="3332" max="3332" width="17.28515625" style="76" customWidth="1"/>
    <col min="3333" max="3333" width="8.85546875" style="76"/>
    <col min="3334" max="3334" width="23.42578125" style="76" customWidth="1"/>
    <col min="3335" max="3335" width="19.7109375" style="76" customWidth="1"/>
    <col min="3336" max="3336" width="25.42578125" style="76" customWidth="1"/>
    <col min="3337" max="3337" width="24.42578125" style="76" customWidth="1"/>
    <col min="3338" max="3338" width="11.42578125" style="76" bestFit="1" customWidth="1"/>
    <col min="3339" max="3339" width="16.140625" style="76" customWidth="1"/>
    <col min="3340" max="3340" width="15.42578125" style="76" customWidth="1"/>
    <col min="3341" max="3341" width="8.85546875" style="76"/>
    <col min="3342" max="3342" width="11" style="76" customWidth="1"/>
    <col min="3343" max="3586" width="8.85546875" style="76"/>
    <col min="3587" max="3587" width="23.140625" style="76" customWidth="1"/>
    <col min="3588" max="3588" width="17.28515625" style="76" customWidth="1"/>
    <col min="3589" max="3589" width="8.85546875" style="76"/>
    <col min="3590" max="3590" width="23.42578125" style="76" customWidth="1"/>
    <col min="3591" max="3591" width="19.7109375" style="76" customWidth="1"/>
    <col min="3592" max="3592" width="25.42578125" style="76" customWidth="1"/>
    <col min="3593" max="3593" width="24.42578125" style="76" customWidth="1"/>
    <col min="3594" max="3594" width="11.42578125" style="76" bestFit="1" customWidth="1"/>
    <col min="3595" max="3595" width="16.140625" style="76" customWidth="1"/>
    <col min="3596" max="3596" width="15.42578125" style="76" customWidth="1"/>
    <col min="3597" max="3597" width="8.85546875" style="76"/>
    <col min="3598" max="3598" width="11" style="76" customWidth="1"/>
    <col min="3599" max="3842" width="8.85546875" style="76"/>
    <col min="3843" max="3843" width="23.140625" style="76" customWidth="1"/>
    <col min="3844" max="3844" width="17.28515625" style="76" customWidth="1"/>
    <col min="3845" max="3845" width="8.85546875" style="76"/>
    <col min="3846" max="3846" width="23.42578125" style="76" customWidth="1"/>
    <col min="3847" max="3847" width="19.7109375" style="76" customWidth="1"/>
    <col min="3848" max="3848" width="25.42578125" style="76" customWidth="1"/>
    <col min="3849" max="3849" width="24.42578125" style="76" customWidth="1"/>
    <col min="3850" max="3850" width="11.42578125" style="76" bestFit="1" customWidth="1"/>
    <col min="3851" max="3851" width="16.140625" style="76" customWidth="1"/>
    <col min="3852" max="3852" width="15.42578125" style="76" customWidth="1"/>
    <col min="3853" max="3853" width="8.85546875" style="76"/>
    <col min="3854" max="3854" width="11" style="76" customWidth="1"/>
    <col min="3855" max="4098" width="8.85546875" style="76"/>
    <col min="4099" max="4099" width="23.140625" style="76" customWidth="1"/>
    <col min="4100" max="4100" width="17.28515625" style="76" customWidth="1"/>
    <col min="4101" max="4101" width="8.85546875" style="76"/>
    <col min="4102" max="4102" width="23.42578125" style="76" customWidth="1"/>
    <col min="4103" max="4103" width="19.7109375" style="76" customWidth="1"/>
    <col min="4104" max="4104" width="25.42578125" style="76" customWidth="1"/>
    <col min="4105" max="4105" width="24.42578125" style="76" customWidth="1"/>
    <col min="4106" max="4106" width="11.42578125" style="76" bestFit="1" customWidth="1"/>
    <col min="4107" max="4107" width="16.140625" style="76" customWidth="1"/>
    <col min="4108" max="4108" width="15.42578125" style="76" customWidth="1"/>
    <col min="4109" max="4109" width="8.85546875" style="76"/>
    <col min="4110" max="4110" width="11" style="76" customWidth="1"/>
    <col min="4111" max="4354" width="8.85546875" style="76"/>
    <col min="4355" max="4355" width="23.140625" style="76" customWidth="1"/>
    <col min="4356" max="4356" width="17.28515625" style="76" customWidth="1"/>
    <col min="4357" max="4357" width="8.85546875" style="76"/>
    <col min="4358" max="4358" width="23.42578125" style="76" customWidth="1"/>
    <col min="4359" max="4359" width="19.7109375" style="76" customWidth="1"/>
    <col min="4360" max="4360" width="25.42578125" style="76" customWidth="1"/>
    <col min="4361" max="4361" width="24.42578125" style="76" customWidth="1"/>
    <col min="4362" max="4362" width="11.42578125" style="76" bestFit="1" customWidth="1"/>
    <col min="4363" max="4363" width="16.140625" style="76" customWidth="1"/>
    <col min="4364" max="4364" width="15.42578125" style="76" customWidth="1"/>
    <col min="4365" max="4365" width="8.85546875" style="76"/>
    <col min="4366" max="4366" width="11" style="76" customWidth="1"/>
    <col min="4367" max="4610" width="8.85546875" style="76"/>
    <col min="4611" max="4611" width="23.140625" style="76" customWidth="1"/>
    <col min="4612" max="4612" width="17.28515625" style="76" customWidth="1"/>
    <col min="4613" max="4613" width="8.85546875" style="76"/>
    <col min="4614" max="4614" width="23.42578125" style="76" customWidth="1"/>
    <col min="4615" max="4615" width="19.7109375" style="76" customWidth="1"/>
    <col min="4616" max="4616" width="25.42578125" style="76" customWidth="1"/>
    <col min="4617" max="4617" width="24.42578125" style="76" customWidth="1"/>
    <col min="4618" max="4618" width="11.42578125" style="76" bestFit="1" customWidth="1"/>
    <col min="4619" max="4619" width="16.140625" style="76" customWidth="1"/>
    <col min="4620" max="4620" width="15.42578125" style="76" customWidth="1"/>
    <col min="4621" max="4621" width="8.85546875" style="76"/>
    <col min="4622" max="4622" width="11" style="76" customWidth="1"/>
    <col min="4623" max="4866" width="8.85546875" style="76"/>
    <col min="4867" max="4867" width="23.140625" style="76" customWidth="1"/>
    <col min="4868" max="4868" width="17.28515625" style="76" customWidth="1"/>
    <col min="4869" max="4869" width="8.85546875" style="76"/>
    <col min="4870" max="4870" width="23.42578125" style="76" customWidth="1"/>
    <col min="4871" max="4871" width="19.7109375" style="76" customWidth="1"/>
    <col min="4872" max="4872" width="25.42578125" style="76" customWidth="1"/>
    <col min="4873" max="4873" width="24.42578125" style="76" customWidth="1"/>
    <col min="4874" max="4874" width="11.42578125" style="76" bestFit="1" customWidth="1"/>
    <col min="4875" max="4875" width="16.140625" style="76" customWidth="1"/>
    <col min="4876" max="4876" width="15.42578125" style="76" customWidth="1"/>
    <col min="4877" max="4877" width="8.85546875" style="76"/>
    <col min="4878" max="4878" width="11" style="76" customWidth="1"/>
    <col min="4879" max="5122" width="8.85546875" style="76"/>
    <col min="5123" max="5123" width="23.140625" style="76" customWidth="1"/>
    <col min="5124" max="5124" width="17.28515625" style="76" customWidth="1"/>
    <col min="5125" max="5125" width="8.85546875" style="76"/>
    <col min="5126" max="5126" width="23.42578125" style="76" customWidth="1"/>
    <col min="5127" max="5127" width="19.7109375" style="76" customWidth="1"/>
    <col min="5128" max="5128" width="25.42578125" style="76" customWidth="1"/>
    <col min="5129" max="5129" width="24.42578125" style="76" customWidth="1"/>
    <col min="5130" max="5130" width="11.42578125" style="76" bestFit="1" customWidth="1"/>
    <col min="5131" max="5131" width="16.140625" style="76" customWidth="1"/>
    <col min="5132" max="5132" width="15.42578125" style="76" customWidth="1"/>
    <col min="5133" max="5133" width="8.85546875" style="76"/>
    <col min="5134" max="5134" width="11" style="76" customWidth="1"/>
    <col min="5135" max="5378" width="8.85546875" style="76"/>
    <col min="5379" max="5379" width="23.140625" style="76" customWidth="1"/>
    <col min="5380" max="5380" width="17.28515625" style="76" customWidth="1"/>
    <col min="5381" max="5381" width="8.85546875" style="76"/>
    <col min="5382" max="5382" width="23.42578125" style="76" customWidth="1"/>
    <col min="5383" max="5383" width="19.7109375" style="76" customWidth="1"/>
    <col min="5384" max="5384" width="25.42578125" style="76" customWidth="1"/>
    <col min="5385" max="5385" width="24.42578125" style="76" customWidth="1"/>
    <col min="5386" max="5386" width="11.42578125" style="76" bestFit="1" customWidth="1"/>
    <col min="5387" max="5387" width="16.140625" style="76" customWidth="1"/>
    <col min="5388" max="5388" width="15.42578125" style="76" customWidth="1"/>
    <col min="5389" max="5389" width="8.85546875" style="76"/>
    <col min="5390" max="5390" width="11" style="76" customWidth="1"/>
    <col min="5391" max="5634" width="8.85546875" style="76"/>
    <col min="5635" max="5635" width="23.140625" style="76" customWidth="1"/>
    <col min="5636" max="5636" width="17.28515625" style="76" customWidth="1"/>
    <col min="5637" max="5637" width="8.85546875" style="76"/>
    <col min="5638" max="5638" width="23.42578125" style="76" customWidth="1"/>
    <col min="5639" max="5639" width="19.7109375" style="76" customWidth="1"/>
    <col min="5640" max="5640" width="25.42578125" style="76" customWidth="1"/>
    <col min="5641" max="5641" width="24.42578125" style="76" customWidth="1"/>
    <col min="5642" max="5642" width="11.42578125" style="76" bestFit="1" customWidth="1"/>
    <col min="5643" max="5643" width="16.140625" style="76" customWidth="1"/>
    <col min="5644" max="5644" width="15.42578125" style="76" customWidth="1"/>
    <col min="5645" max="5645" width="8.85546875" style="76"/>
    <col min="5646" max="5646" width="11" style="76" customWidth="1"/>
    <col min="5647" max="5890" width="8.85546875" style="76"/>
    <col min="5891" max="5891" width="23.140625" style="76" customWidth="1"/>
    <col min="5892" max="5892" width="17.28515625" style="76" customWidth="1"/>
    <col min="5893" max="5893" width="8.85546875" style="76"/>
    <col min="5894" max="5894" width="23.42578125" style="76" customWidth="1"/>
    <col min="5895" max="5895" width="19.7109375" style="76" customWidth="1"/>
    <col min="5896" max="5896" width="25.42578125" style="76" customWidth="1"/>
    <col min="5897" max="5897" width="24.42578125" style="76" customWidth="1"/>
    <col min="5898" max="5898" width="11.42578125" style="76" bestFit="1" customWidth="1"/>
    <col min="5899" max="5899" width="16.140625" style="76" customWidth="1"/>
    <col min="5900" max="5900" width="15.42578125" style="76" customWidth="1"/>
    <col min="5901" max="5901" width="8.85546875" style="76"/>
    <col min="5902" max="5902" width="11" style="76" customWidth="1"/>
    <col min="5903" max="6146" width="8.85546875" style="76"/>
    <col min="6147" max="6147" width="23.140625" style="76" customWidth="1"/>
    <col min="6148" max="6148" width="17.28515625" style="76" customWidth="1"/>
    <col min="6149" max="6149" width="8.85546875" style="76"/>
    <col min="6150" max="6150" width="23.42578125" style="76" customWidth="1"/>
    <col min="6151" max="6151" width="19.7109375" style="76" customWidth="1"/>
    <col min="6152" max="6152" width="25.42578125" style="76" customWidth="1"/>
    <col min="6153" max="6153" width="24.42578125" style="76" customWidth="1"/>
    <col min="6154" max="6154" width="11.42578125" style="76" bestFit="1" customWidth="1"/>
    <col min="6155" max="6155" width="16.140625" style="76" customWidth="1"/>
    <col min="6156" max="6156" width="15.42578125" style="76" customWidth="1"/>
    <col min="6157" max="6157" width="8.85546875" style="76"/>
    <col min="6158" max="6158" width="11" style="76" customWidth="1"/>
    <col min="6159" max="6402" width="8.85546875" style="76"/>
    <col min="6403" max="6403" width="23.140625" style="76" customWidth="1"/>
    <col min="6404" max="6404" width="17.28515625" style="76" customWidth="1"/>
    <col min="6405" max="6405" width="8.85546875" style="76"/>
    <col min="6406" max="6406" width="23.42578125" style="76" customWidth="1"/>
    <col min="6407" max="6407" width="19.7109375" style="76" customWidth="1"/>
    <col min="6408" max="6408" width="25.42578125" style="76" customWidth="1"/>
    <col min="6409" max="6409" width="24.42578125" style="76" customWidth="1"/>
    <col min="6410" max="6410" width="11.42578125" style="76" bestFit="1" customWidth="1"/>
    <col min="6411" max="6411" width="16.140625" style="76" customWidth="1"/>
    <col min="6412" max="6412" width="15.42578125" style="76" customWidth="1"/>
    <col min="6413" max="6413" width="8.85546875" style="76"/>
    <col min="6414" max="6414" width="11" style="76" customWidth="1"/>
    <col min="6415" max="6658" width="8.85546875" style="76"/>
    <col min="6659" max="6659" width="23.140625" style="76" customWidth="1"/>
    <col min="6660" max="6660" width="17.28515625" style="76" customWidth="1"/>
    <col min="6661" max="6661" width="8.85546875" style="76"/>
    <col min="6662" max="6662" width="23.42578125" style="76" customWidth="1"/>
    <col min="6663" max="6663" width="19.7109375" style="76" customWidth="1"/>
    <col min="6664" max="6664" width="25.42578125" style="76" customWidth="1"/>
    <col min="6665" max="6665" width="24.42578125" style="76" customWidth="1"/>
    <col min="6666" max="6666" width="11.42578125" style="76" bestFit="1" customWidth="1"/>
    <col min="6667" max="6667" width="16.140625" style="76" customWidth="1"/>
    <col min="6668" max="6668" width="15.42578125" style="76" customWidth="1"/>
    <col min="6669" max="6669" width="8.85546875" style="76"/>
    <col min="6670" max="6670" width="11" style="76" customWidth="1"/>
    <col min="6671" max="6914" width="8.85546875" style="76"/>
    <col min="6915" max="6915" width="23.140625" style="76" customWidth="1"/>
    <col min="6916" max="6916" width="17.28515625" style="76" customWidth="1"/>
    <col min="6917" max="6917" width="8.85546875" style="76"/>
    <col min="6918" max="6918" width="23.42578125" style="76" customWidth="1"/>
    <col min="6919" max="6919" width="19.7109375" style="76" customWidth="1"/>
    <col min="6920" max="6920" width="25.42578125" style="76" customWidth="1"/>
    <col min="6921" max="6921" width="24.42578125" style="76" customWidth="1"/>
    <col min="6922" max="6922" width="11.42578125" style="76" bestFit="1" customWidth="1"/>
    <col min="6923" max="6923" width="16.140625" style="76" customWidth="1"/>
    <col min="6924" max="6924" width="15.42578125" style="76" customWidth="1"/>
    <col min="6925" max="6925" width="8.85546875" style="76"/>
    <col min="6926" max="6926" width="11" style="76" customWidth="1"/>
    <col min="6927" max="7170" width="8.85546875" style="76"/>
    <col min="7171" max="7171" width="23.140625" style="76" customWidth="1"/>
    <col min="7172" max="7172" width="17.28515625" style="76" customWidth="1"/>
    <col min="7173" max="7173" width="8.85546875" style="76"/>
    <col min="7174" max="7174" width="23.42578125" style="76" customWidth="1"/>
    <col min="7175" max="7175" width="19.7109375" style="76" customWidth="1"/>
    <col min="7176" max="7176" width="25.42578125" style="76" customWidth="1"/>
    <col min="7177" max="7177" width="24.42578125" style="76" customWidth="1"/>
    <col min="7178" max="7178" width="11.42578125" style="76" bestFit="1" customWidth="1"/>
    <col min="7179" max="7179" width="16.140625" style="76" customWidth="1"/>
    <col min="7180" max="7180" width="15.42578125" style="76" customWidth="1"/>
    <col min="7181" max="7181" width="8.85546875" style="76"/>
    <col min="7182" max="7182" width="11" style="76" customWidth="1"/>
    <col min="7183" max="7426" width="8.85546875" style="76"/>
    <col min="7427" max="7427" width="23.140625" style="76" customWidth="1"/>
    <col min="7428" max="7428" width="17.28515625" style="76" customWidth="1"/>
    <col min="7429" max="7429" width="8.85546875" style="76"/>
    <col min="7430" max="7430" width="23.42578125" style="76" customWidth="1"/>
    <col min="7431" max="7431" width="19.7109375" style="76" customWidth="1"/>
    <col min="7432" max="7432" width="25.42578125" style="76" customWidth="1"/>
    <col min="7433" max="7433" width="24.42578125" style="76" customWidth="1"/>
    <col min="7434" max="7434" width="11.42578125" style="76" bestFit="1" customWidth="1"/>
    <col min="7435" max="7435" width="16.140625" style="76" customWidth="1"/>
    <col min="7436" max="7436" width="15.42578125" style="76" customWidth="1"/>
    <col min="7437" max="7437" width="8.85546875" style="76"/>
    <col min="7438" max="7438" width="11" style="76" customWidth="1"/>
    <col min="7439" max="7682" width="8.85546875" style="76"/>
    <col min="7683" max="7683" width="23.140625" style="76" customWidth="1"/>
    <col min="7684" max="7684" width="17.28515625" style="76" customWidth="1"/>
    <col min="7685" max="7685" width="8.85546875" style="76"/>
    <col min="7686" max="7686" width="23.42578125" style="76" customWidth="1"/>
    <col min="7687" max="7687" width="19.7109375" style="76" customWidth="1"/>
    <col min="7688" max="7688" width="25.42578125" style="76" customWidth="1"/>
    <col min="7689" max="7689" width="24.42578125" style="76" customWidth="1"/>
    <col min="7690" max="7690" width="11.42578125" style="76" bestFit="1" customWidth="1"/>
    <col min="7691" max="7691" width="16.140625" style="76" customWidth="1"/>
    <col min="7692" max="7692" width="15.42578125" style="76" customWidth="1"/>
    <col min="7693" max="7693" width="8.85546875" style="76"/>
    <col min="7694" max="7694" width="11" style="76" customWidth="1"/>
    <col min="7695" max="7938" width="8.85546875" style="76"/>
    <col min="7939" max="7939" width="23.140625" style="76" customWidth="1"/>
    <col min="7940" max="7940" width="17.28515625" style="76" customWidth="1"/>
    <col min="7941" max="7941" width="8.85546875" style="76"/>
    <col min="7942" max="7942" width="23.42578125" style="76" customWidth="1"/>
    <col min="7943" max="7943" width="19.7109375" style="76" customWidth="1"/>
    <col min="7944" max="7944" width="25.42578125" style="76" customWidth="1"/>
    <col min="7945" max="7945" width="24.42578125" style="76" customWidth="1"/>
    <col min="7946" max="7946" width="11.42578125" style="76" bestFit="1" customWidth="1"/>
    <col min="7947" max="7947" width="16.140625" style="76" customWidth="1"/>
    <col min="7948" max="7948" width="15.42578125" style="76" customWidth="1"/>
    <col min="7949" max="7949" width="8.85546875" style="76"/>
    <col min="7950" max="7950" width="11" style="76" customWidth="1"/>
    <col min="7951" max="8194" width="8.85546875" style="76"/>
    <col min="8195" max="8195" width="23.140625" style="76" customWidth="1"/>
    <col min="8196" max="8196" width="17.28515625" style="76" customWidth="1"/>
    <col min="8197" max="8197" width="8.85546875" style="76"/>
    <col min="8198" max="8198" width="23.42578125" style="76" customWidth="1"/>
    <col min="8199" max="8199" width="19.7109375" style="76" customWidth="1"/>
    <col min="8200" max="8200" width="25.42578125" style="76" customWidth="1"/>
    <col min="8201" max="8201" width="24.42578125" style="76" customWidth="1"/>
    <col min="8202" max="8202" width="11.42578125" style="76" bestFit="1" customWidth="1"/>
    <col min="8203" max="8203" width="16.140625" style="76" customWidth="1"/>
    <col min="8204" max="8204" width="15.42578125" style="76" customWidth="1"/>
    <col min="8205" max="8205" width="8.85546875" style="76"/>
    <col min="8206" max="8206" width="11" style="76" customWidth="1"/>
    <col min="8207" max="8450" width="8.85546875" style="76"/>
    <col min="8451" max="8451" width="23.140625" style="76" customWidth="1"/>
    <col min="8452" max="8452" width="17.28515625" style="76" customWidth="1"/>
    <col min="8453" max="8453" width="8.85546875" style="76"/>
    <col min="8454" max="8454" width="23.42578125" style="76" customWidth="1"/>
    <col min="8455" max="8455" width="19.7109375" style="76" customWidth="1"/>
    <col min="8456" max="8456" width="25.42578125" style="76" customWidth="1"/>
    <col min="8457" max="8457" width="24.42578125" style="76" customWidth="1"/>
    <col min="8458" max="8458" width="11.42578125" style="76" bestFit="1" customWidth="1"/>
    <col min="8459" max="8459" width="16.140625" style="76" customWidth="1"/>
    <col min="8460" max="8460" width="15.42578125" style="76" customWidth="1"/>
    <col min="8461" max="8461" width="8.85546875" style="76"/>
    <col min="8462" max="8462" width="11" style="76" customWidth="1"/>
    <col min="8463" max="8706" width="8.85546875" style="76"/>
    <col min="8707" max="8707" width="23.140625" style="76" customWidth="1"/>
    <col min="8708" max="8708" width="17.28515625" style="76" customWidth="1"/>
    <col min="8709" max="8709" width="8.85546875" style="76"/>
    <col min="8710" max="8710" width="23.42578125" style="76" customWidth="1"/>
    <col min="8711" max="8711" width="19.7109375" style="76" customWidth="1"/>
    <col min="8712" max="8712" width="25.42578125" style="76" customWidth="1"/>
    <col min="8713" max="8713" width="24.42578125" style="76" customWidth="1"/>
    <col min="8714" max="8714" width="11.42578125" style="76" bestFit="1" customWidth="1"/>
    <col min="8715" max="8715" width="16.140625" style="76" customWidth="1"/>
    <col min="8716" max="8716" width="15.42578125" style="76" customWidth="1"/>
    <col min="8717" max="8717" width="8.85546875" style="76"/>
    <col min="8718" max="8718" width="11" style="76" customWidth="1"/>
    <col min="8719" max="8962" width="8.85546875" style="76"/>
    <col min="8963" max="8963" width="23.140625" style="76" customWidth="1"/>
    <col min="8964" max="8964" width="17.28515625" style="76" customWidth="1"/>
    <col min="8965" max="8965" width="8.85546875" style="76"/>
    <col min="8966" max="8966" width="23.42578125" style="76" customWidth="1"/>
    <col min="8967" max="8967" width="19.7109375" style="76" customWidth="1"/>
    <col min="8968" max="8968" width="25.42578125" style="76" customWidth="1"/>
    <col min="8969" max="8969" width="24.42578125" style="76" customWidth="1"/>
    <col min="8970" max="8970" width="11.42578125" style="76" bestFit="1" customWidth="1"/>
    <col min="8971" max="8971" width="16.140625" style="76" customWidth="1"/>
    <col min="8972" max="8972" width="15.42578125" style="76" customWidth="1"/>
    <col min="8973" max="8973" width="8.85546875" style="76"/>
    <col min="8974" max="8974" width="11" style="76" customWidth="1"/>
    <col min="8975" max="9218" width="8.85546875" style="76"/>
    <col min="9219" max="9219" width="23.140625" style="76" customWidth="1"/>
    <col min="9220" max="9220" width="17.28515625" style="76" customWidth="1"/>
    <col min="9221" max="9221" width="8.85546875" style="76"/>
    <col min="9222" max="9222" width="23.42578125" style="76" customWidth="1"/>
    <col min="9223" max="9223" width="19.7109375" style="76" customWidth="1"/>
    <col min="9224" max="9224" width="25.42578125" style="76" customWidth="1"/>
    <col min="9225" max="9225" width="24.42578125" style="76" customWidth="1"/>
    <col min="9226" max="9226" width="11.42578125" style="76" bestFit="1" customWidth="1"/>
    <col min="9227" max="9227" width="16.140625" style="76" customWidth="1"/>
    <col min="9228" max="9228" width="15.42578125" style="76" customWidth="1"/>
    <col min="9229" max="9229" width="8.85546875" style="76"/>
    <col min="9230" max="9230" width="11" style="76" customWidth="1"/>
    <col min="9231" max="9474" width="8.85546875" style="76"/>
    <col min="9475" max="9475" width="23.140625" style="76" customWidth="1"/>
    <col min="9476" max="9476" width="17.28515625" style="76" customWidth="1"/>
    <col min="9477" max="9477" width="8.85546875" style="76"/>
    <col min="9478" max="9478" width="23.42578125" style="76" customWidth="1"/>
    <col min="9479" max="9479" width="19.7109375" style="76" customWidth="1"/>
    <col min="9480" max="9480" width="25.42578125" style="76" customWidth="1"/>
    <col min="9481" max="9481" width="24.42578125" style="76" customWidth="1"/>
    <col min="9482" max="9482" width="11.42578125" style="76" bestFit="1" customWidth="1"/>
    <col min="9483" max="9483" width="16.140625" style="76" customWidth="1"/>
    <col min="9484" max="9484" width="15.42578125" style="76" customWidth="1"/>
    <col min="9485" max="9485" width="8.85546875" style="76"/>
    <col min="9486" max="9486" width="11" style="76" customWidth="1"/>
    <col min="9487" max="9730" width="8.85546875" style="76"/>
    <col min="9731" max="9731" width="23.140625" style="76" customWidth="1"/>
    <col min="9732" max="9732" width="17.28515625" style="76" customWidth="1"/>
    <col min="9733" max="9733" width="8.85546875" style="76"/>
    <col min="9734" max="9734" width="23.42578125" style="76" customWidth="1"/>
    <col min="9735" max="9735" width="19.7109375" style="76" customWidth="1"/>
    <col min="9736" max="9736" width="25.42578125" style="76" customWidth="1"/>
    <col min="9737" max="9737" width="24.42578125" style="76" customWidth="1"/>
    <col min="9738" max="9738" width="11.42578125" style="76" bestFit="1" customWidth="1"/>
    <col min="9739" max="9739" width="16.140625" style="76" customWidth="1"/>
    <col min="9740" max="9740" width="15.42578125" style="76" customWidth="1"/>
    <col min="9741" max="9741" width="8.85546875" style="76"/>
    <col min="9742" max="9742" width="11" style="76" customWidth="1"/>
    <col min="9743" max="9986" width="8.85546875" style="76"/>
    <col min="9987" max="9987" width="23.140625" style="76" customWidth="1"/>
    <col min="9988" max="9988" width="17.28515625" style="76" customWidth="1"/>
    <col min="9989" max="9989" width="8.85546875" style="76"/>
    <col min="9990" max="9990" width="23.42578125" style="76" customWidth="1"/>
    <col min="9991" max="9991" width="19.7109375" style="76" customWidth="1"/>
    <col min="9992" max="9992" width="25.42578125" style="76" customWidth="1"/>
    <col min="9993" max="9993" width="24.42578125" style="76" customWidth="1"/>
    <col min="9994" max="9994" width="11.42578125" style="76" bestFit="1" customWidth="1"/>
    <col min="9995" max="9995" width="16.140625" style="76" customWidth="1"/>
    <col min="9996" max="9996" width="15.42578125" style="76" customWidth="1"/>
    <col min="9997" max="9997" width="8.85546875" style="76"/>
    <col min="9998" max="9998" width="11" style="76" customWidth="1"/>
    <col min="9999" max="10242" width="8.85546875" style="76"/>
    <col min="10243" max="10243" width="23.140625" style="76" customWidth="1"/>
    <col min="10244" max="10244" width="17.28515625" style="76" customWidth="1"/>
    <col min="10245" max="10245" width="8.85546875" style="76"/>
    <col min="10246" max="10246" width="23.42578125" style="76" customWidth="1"/>
    <col min="10247" max="10247" width="19.7109375" style="76" customWidth="1"/>
    <col min="10248" max="10248" width="25.42578125" style="76" customWidth="1"/>
    <col min="10249" max="10249" width="24.42578125" style="76" customWidth="1"/>
    <col min="10250" max="10250" width="11.42578125" style="76" bestFit="1" customWidth="1"/>
    <col min="10251" max="10251" width="16.140625" style="76" customWidth="1"/>
    <col min="10252" max="10252" width="15.42578125" style="76" customWidth="1"/>
    <col min="10253" max="10253" width="8.85546875" style="76"/>
    <col min="10254" max="10254" width="11" style="76" customWidth="1"/>
    <col min="10255" max="10498" width="8.85546875" style="76"/>
    <col min="10499" max="10499" width="23.140625" style="76" customWidth="1"/>
    <col min="10500" max="10500" width="17.28515625" style="76" customWidth="1"/>
    <col min="10501" max="10501" width="8.85546875" style="76"/>
    <col min="10502" max="10502" width="23.42578125" style="76" customWidth="1"/>
    <col min="10503" max="10503" width="19.7109375" style="76" customWidth="1"/>
    <col min="10504" max="10504" width="25.42578125" style="76" customWidth="1"/>
    <col min="10505" max="10505" width="24.42578125" style="76" customWidth="1"/>
    <col min="10506" max="10506" width="11.42578125" style="76" bestFit="1" customWidth="1"/>
    <col min="10507" max="10507" width="16.140625" style="76" customWidth="1"/>
    <col min="10508" max="10508" width="15.42578125" style="76" customWidth="1"/>
    <col min="10509" max="10509" width="8.85546875" style="76"/>
    <col min="10510" max="10510" width="11" style="76" customWidth="1"/>
    <col min="10511" max="10754" width="8.85546875" style="76"/>
    <col min="10755" max="10755" width="23.140625" style="76" customWidth="1"/>
    <col min="10756" max="10756" width="17.28515625" style="76" customWidth="1"/>
    <col min="10757" max="10757" width="8.85546875" style="76"/>
    <col min="10758" max="10758" width="23.42578125" style="76" customWidth="1"/>
    <col min="10759" max="10759" width="19.7109375" style="76" customWidth="1"/>
    <col min="10760" max="10760" width="25.42578125" style="76" customWidth="1"/>
    <col min="10761" max="10761" width="24.42578125" style="76" customWidth="1"/>
    <col min="10762" max="10762" width="11.42578125" style="76" bestFit="1" customWidth="1"/>
    <col min="10763" max="10763" width="16.140625" style="76" customWidth="1"/>
    <col min="10764" max="10764" width="15.42578125" style="76" customWidth="1"/>
    <col min="10765" max="10765" width="8.85546875" style="76"/>
    <col min="10766" max="10766" width="11" style="76" customWidth="1"/>
    <col min="10767" max="11010" width="8.85546875" style="76"/>
    <col min="11011" max="11011" width="23.140625" style="76" customWidth="1"/>
    <col min="11012" max="11012" width="17.28515625" style="76" customWidth="1"/>
    <col min="11013" max="11013" width="8.85546875" style="76"/>
    <col min="11014" max="11014" width="23.42578125" style="76" customWidth="1"/>
    <col min="11015" max="11015" width="19.7109375" style="76" customWidth="1"/>
    <col min="11016" max="11016" width="25.42578125" style="76" customWidth="1"/>
    <col min="11017" max="11017" width="24.42578125" style="76" customWidth="1"/>
    <col min="11018" max="11018" width="11.42578125" style="76" bestFit="1" customWidth="1"/>
    <col min="11019" max="11019" width="16.140625" style="76" customWidth="1"/>
    <col min="11020" max="11020" width="15.42578125" style="76" customWidth="1"/>
    <col min="11021" max="11021" width="8.85546875" style="76"/>
    <col min="11022" max="11022" width="11" style="76" customWidth="1"/>
    <col min="11023" max="11266" width="8.85546875" style="76"/>
    <col min="11267" max="11267" width="23.140625" style="76" customWidth="1"/>
    <col min="11268" max="11268" width="17.28515625" style="76" customWidth="1"/>
    <col min="11269" max="11269" width="8.85546875" style="76"/>
    <col min="11270" max="11270" width="23.42578125" style="76" customWidth="1"/>
    <col min="11271" max="11271" width="19.7109375" style="76" customWidth="1"/>
    <col min="11272" max="11272" width="25.42578125" style="76" customWidth="1"/>
    <col min="11273" max="11273" width="24.42578125" style="76" customWidth="1"/>
    <col min="11274" max="11274" width="11.42578125" style="76" bestFit="1" customWidth="1"/>
    <col min="11275" max="11275" width="16.140625" style="76" customWidth="1"/>
    <col min="11276" max="11276" width="15.42578125" style="76" customWidth="1"/>
    <col min="11277" max="11277" width="8.85546875" style="76"/>
    <col min="11278" max="11278" width="11" style="76" customWidth="1"/>
    <col min="11279" max="11522" width="8.85546875" style="76"/>
    <col min="11523" max="11523" width="23.140625" style="76" customWidth="1"/>
    <col min="11524" max="11524" width="17.28515625" style="76" customWidth="1"/>
    <col min="11525" max="11525" width="8.85546875" style="76"/>
    <col min="11526" max="11526" width="23.42578125" style="76" customWidth="1"/>
    <col min="11527" max="11527" width="19.7109375" style="76" customWidth="1"/>
    <col min="11528" max="11528" width="25.42578125" style="76" customWidth="1"/>
    <col min="11529" max="11529" width="24.42578125" style="76" customWidth="1"/>
    <col min="11530" max="11530" width="11.42578125" style="76" bestFit="1" customWidth="1"/>
    <col min="11531" max="11531" width="16.140625" style="76" customWidth="1"/>
    <col min="11532" max="11532" width="15.42578125" style="76" customWidth="1"/>
    <col min="11533" max="11533" width="8.85546875" style="76"/>
    <col min="11534" max="11534" width="11" style="76" customWidth="1"/>
    <col min="11535" max="11778" width="8.85546875" style="76"/>
    <col min="11779" max="11779" width="23.140625" style="76" customWidth="1"/>
    <col min="11780" max="11780" width="17.28515625" style="76" customWidth="1"/>
    <col min="11781" max="11781" width="8.85546875" style="76"/>
    <col min="11782" max="11782" width="23.42578125" style="76" customWidth="1"/>
    <col min="11783" max="11783" width="19.7109375" style="76" customWidth="1"/>
    <col min="11784" max="11784" width="25.42578125" style="76" customWidth="1"/>
    <col min="11785" max="11785" width="24.42578125" style="76" customWidth="1"/>
    <col min="11786" max="11786" width="11.42578125" style="76" bestFit="1" customWidth="1"/>
    <col min="11787" max="11787" width="16.140625" style="76" customWidth="1"/>
    <col min="11788" max="11788" width="15.42578125" style="76" customWidth="1"/>
    <col min="11789" max="11789" width="8.85546875" style="76"/>
    <col min="11790" max="11790" width="11" style="76" customWidth="1"/>
    <col min="11791" max="12034" width="8.85546875" style="76"/>
    <col min="12035" max="12035" width="23.140625" style="76" customWidth="1"/>
    <col min="12036" max="12036" width="17.28515625" style="76" customWidth="1"/>
    <col min="12037" max="12037" width="8.85546875" style="76"/>
    <col min="12038" max="12038" width="23.42578125" style="76" customWidth="1"/>
    <col min="12039" max="12039" width="19.7109375" style="76" customWidth="1"/>
    <col min="12040" max="12040" width="25.42578125" style="76" customWidth="1"/>
    <col min="12041" max="12041" width="24.42578125" style="76" customWidth="1"/>
    <col min="12042" max="12042" width="11.42578125" style="76" bestFit="1" customWidth="1"/>
    <col min="12043" max="12043" width="16.140625" style="76" customWidth="1"/>
    <col min="12044" max="12044" width="15.42578125" style="76" customWidth="1"/>
    <col min="12045" max="12045" width="8.85546875" style="76"/>
    <col min="12046" max="12046" width="11" style="76" customWidth="1"/>
    <col min="12047" max="12290" width="8.85546875" style="76"/>
    <col min="12291" max="12291" width="23.140625" style="76" customWidth="1"/>
    <col min="12292" max="12292" width="17.28515625" style="76" customWidth="1"/>
    <col min="12293" max="12293" width="8.85546875" style="76"/>
    <col min="12294" max="12294" width="23.42578125" style="76" customWidth="1"/>
    <col min="12295" max="12295" width="19.7109375" style="76" customWidth="1"/>
    <col min="12296" max="12296" width="25.42578125" style="76" customWidth="1"/>
    <col min="12297" max="12297" width="24.42578125" style="76" customWidth="1"/>
    <col min="12298" max="12298" width="11.42578125" style="76" bestFit="1" customWidth="1"/>
    <col min="12299" max="12299" width="16.140625" style="76" customWidth="1"/>
    <col min="12300" max="12300" width="15.42578125" style="76" customWidth="1"/>
    <col min="12301" max="12301" width="8.85546875" style="76"/>
    <col min="12302" max="12302" width="11" style="76" customWidth="1"/>
    <col min="12303" max="12546" width="8.85546875" style="76"/>
    <col min="12547" max="12547" width="23.140625" style="76" customWidth="1"/>
    <col min="12548" max="12548" width="17.28515625" style="76" customWidth="1"/>
    <col min="12549" max="12549" width="8.85546875" style="76"/>
    <col min="12550" max="12550" width="23.42578125" style="76" customWidth="1"/>
    <col min="12551" max="12551" width="19.7109375" style="76" customWidth="1"/>
    <col min="12552" max="12552" width="25.42578125" style="76" customWidth="1"/>
    <col min="12553" max="12553" width="24.42578125" style="76" customWidth="1"/>
    <col min="12554" max="12554" width="11.42578125" style="76" bestFit="1" customWidth="1"/>
    <col min="12555" max="12555" width="16.140625" style="76" customWidth="1"/>
    <col min="12556" max="12556" width="15.42578125" style="76" customWidth="1"/>
    <col min="12557" max="12557" width="8.85546875" style="76"/>
    <col min="12558" max="12558" width="11" style="76" customWidth="1"/>
    <col min="12559" max="12802" width="8.85546875" style="76"/>
    <col min="12803" max="12803" width="23.140625" style="76" customWidth="1"/>
    <col min="12804" max="12804" width="17.28515625" style="76" customWidth="1"/>
    <col min="12805" max="12805" width="8.85546875" style="76"/>
    <col min="12806" max="12806" width="23.42578125" style="76" customWidth="1"/>
    <col min="12807" max="12807" width="19.7109375" style="76" customWidth="1"/>
    <col min="12808" max="12808" width="25.42578125" style="76" customWidth="1"/>
    <col min="12809" max="12809" width="24.42578125" style="76" customWidth="1"/>
    <col min="12810" max="12810" width="11.42578125" style="76" bestFit="1" customWidth="1"/>
    <col min="12811" max="12811" width="16.140625" style="76" customWidth="1"/>
    <col min="12812" max="12812" width="15.42578125" style="76" customWidth="1"/>
    <col min="12813" max="12813" width="8.85546875" style="76"/>
    <col min="12814" max="12814" width="11" style="76" customWidth="1"/>
    <col min="12815" max="13058" width="8.85546875" style="76"/>
    <col min="13059" max="13059" width="23.140625" style="76" customWidth="1"/>
    <col min="13060" max="13060" width="17.28515625" style="76" customWidth="1"/>
    <col min="13061" max="13061" width="8.85546875" style="76"/>
    <col min="13062" max="13062" width="23.42578125" style="76" customWidth="1"/>
    <col min="13063" max="13063" width="19.7109375" style="76" customWidth="1"/>
    <col min="13064" max="13064" width="25.42578125" style="76" customWidth="1"/>
    <col min="13065" max="13065" width="24.42578125" style="76" customWidth="1"/>
    <col min="13066" max="13066" width="11.42578125" style="76" bestFit="1" customWidth="1"/>
    <col min="13067" max="13067" width="16.140625" style="76" customWidth="1"/>
    <col min="13068" max="13068" width="15.42578125" style="76" customWidth="1"/>
    <col min="13069" max="13069" width="8.85546875" style="76"/>
    <col min="13070" max="13070" width="11" style="76" customWidth="1"/>
    <col min="13071" max="13314" width="8.85546875" style="76"/>
    <col min="13315" max="13315" width="23.140625" style="76" customWidth="1"/>
    <col min="13316" max="13316" width="17.28515625" style="76" customWidth="1"/>
    <col min="13317" max="13317" width="8.85546875" style="76"/>
    <col min="13318" max="13318" width="23.42578125" style="76" customWidth="1"/>
    <col min="13319" max="13319" width="19.7109375" style="76" customWidth="1"/>
    <col min="13320" max="13320" width="25.42578125" style="76" customWidth="1"/>
    <col min="13321" max="13321" width="24.42578125" style="76" customWidth="1"/>
    <col min="13322" max="13322" width="11.42578125" style="76" bestFit="1" customWidth="1"/>
    <col min="13323" max="13323" width="16.140625" style="76" customWidth="1"/>
    <col min="13324" max="13324" width="15.42578125" style="76" customWidth="1"/>
    <col min="13325" max="13325" width="8.85546875" style="76"/>
    <col min="13326" max="13326" width="11" style="76" customWidth="1"/>
    <col min="13327" max="13570" width="8.85546875" style="76"/>
    <col min="13571" max="13571" width="23.140625" style="76" customWidth="1"/>
    <col min="13572" max="13572" width="17.28515625" style="76" customWidth="1"/>
    <col min="13573" max="13573" width="8.85546875" style="76"/>
    <col min="13574" max="13574" width="23.42578125" style="76" customWidth="1"/>
    <col min="13575" max="13575" width="19.7109375" style="76" customWidth="1"/>
    <col min="13576" max="13576" width="25.42578125" style="76" customWidth="1"/>
    <col min="13577" max="13577" width="24.42578125" style="76" customWidth="1"/>
    <col min="13578" max="13578" width="11.42578125" style="76" bestFit="1" customWidth="1"/>
    <col min="13579" max="13579" width="16.140625" style="76" customWidth="1"/>
    <col min="13580" max="13580" width="15.42578125" style="76" customWidth="1"/>
    <col min="13581" max="13581" width="8.85546875" style="76"/>
    <col min="13582" max="13582" width="11" style="76" customWidth="1"/>
    <col min="13583" max="13826" width="8.85546875" style="76"/>
    <col min="13827" max="13827" width="23.140625" style="76" customWidth="1"/>
    <col min="13828" max="13828" width="17.28515625" style="76" customWidth="1"/>
    <col min="13829" max="13829" width="8.85546875" style="76"/>
    <col min="13830" max="13830" width="23.42578125" style="76" customWidth="1"/>
    <col min="13831" max="13831" width="19.7109375" style="76" customWidth="1"/>
    <col min="13832" max="13832" width="25.42578125" style="76" customWidth="1"/>
    <col min="13833" max="13833" width="24.42578125" style="76" customWidth="1"/>
    <col min="13834" max="13834" width="11.42578125" style="76" bestFit="1" customWidth="1"/>
    <col min="13835" max="13835" width="16.140625" style="76" customWidth="1"/>
    <col min="13836" max="13836" width="15.42578125" style="76" customWidth="1"/>
    <col min="13837" max="13837" width="8.85546875" style="76"/>
    <col min="13838" max="13838" width="11" style="76" customWidth="1"/>
    <col min="13839" max="14082" width="8.85546875" style="76"/>
    <col min="14083" max="14083" width="23.140625" style="76" customWidth="1"/>
    <col min="14084" max="14084" width="17.28515625" style="76" customWidth="1"/>
    <col min="14085" max="14085" width="8.85546875" style="76"/>
    <col min="14086" max="14086" width="23.42578125" style="76" customWidth="1"/>
    <col min="14087" max="14087" width="19.7109375" style="76" customWidth="1"/>
    <col min="14088" max="14088" width="25.42578125" style="76" customWidth="1"/>
    <col min="14089" max="14089" width="24.42578125" style="76" customWidth="1"/>
    <col min="14090" max="14090" width="11.42578125" style="76" bestFit="1" customWidth="1"/>
    <col min="14091" max="14091" width="16.140625" style="76" customWidth="1"/>
    <col min="14092" max="14092" width="15.42578125" style="76" customWidth="1"/>
    <col min="14093" max="14093" width="8.85546875" style="76"/>
    <col min="14094" max="14094" width="11" style="76" customWidth="1"/>
    <col min="14095" max="14338" width="8.85546875" style="76"/>
    <col min="14339" max="14339" width="23.140625" style="76" customWidth="1"/>
    <col min="14340" max="14340" width="17.28515625" style="76" customWidth="1"/>
    <col min="14341" max="14341" width="8.85546875" style="76"/>
    <col min="14342" max="14342" width="23.42578125" style="76" customWidth="1"/>
    <col min="14343" max="14343" width="19.7109375" style="76" customWidth="1"/>
    <col min="14344" max="14344" width="25.42578125" style="76" customWidth="1"/>
    <col min="14345" max="14345" width="24.42578125" style="76" customWidth="1"/>
    <col min="14346" max="14346" width="11.42578125" style="76" bestFit="1" customWidth="1"/>
    <col min="14347" max="14347" width="16.140625" style="76" customWidth="1"/>
    <col min="14348" max="14348" width="15.42578125" style="76" customWidth="1"/>
    <col min="14349" max="14349" width="8.85546875" style="76"/>
    <col min="14350" max="14350" width="11" style="76" customWidth="1"/>
    <col min="14351" max="14594" width="8.85546875" style="76"/>
    <col min="14595" max="14595" width="23.140625" style="76" customWidth="1"/>
    <col min="14596" max="14596" width="17.28515625" style="76" customWidth="1"/>
    <col min="14597" max="14597" width="8.85546875" style="76"/>
    <col min="14598" max="14598" width="23.42578125" style="76" customWidth="1"/>
    <col min="14599" max="14599" width="19.7109375" style="76" customWidth="1"/>
    <col min="14600" max="14600" width="25.42578125" style="76" customWidth="1"/>
    <col min="14601" max="14601" width="24.42578125" style="76" customWidth="1"/>
    <col min="14602" max="14602" width="11.42578125" style="76" bestFit="1" customWidth="1"/>
    <col min="14603" max="14603" width="16.140625" style="76" customWidth="1"/>
    <col min="14604" max="14604" width="15.42578125" style="76" customWidth="1"/>
    <col min="14605" max="14605" width="8.85546875" style="76"/>
    <col min="14606" max="14606" width="11" style="76" customWidth="1"/>
    <col min="14607" max="14850" width="8.85546875" style="76"/>
    <col min="14851" max="14851" width="23.140625" style="76" customWidth="1"/>
    <col min="14852" max="14852" width="17.28515625" style="76" customWidth="1"/>
    <col min="14853" max="14853" width="8.85546875" style="76"/>
    <col min="14854" max="14854" width="23.42578125" style="76" customWidth="1"/>
    <col min="14855" max="14855" width="19.7109375" style="76" customWidth="1"/>
    <col min="14856" max="14856" width="25.42578125" style="76" customWidth="1"/>
    <col min="14857" max="14857" width="24.42578125" style="76" customWidth="1"/>
    <col min="14858" max="14858" width="11.42578125" style="76" bestFit="1" customWidth="1"/>
    <col min="14859" max="14859" width="16.140625" style="76" customWidth="1"/>
    <col min="14860" max="14860" width="15.42578125" style="76" customWidth="1"/>
    <col min="14861" max="14861" width="8.85546875" style="76"/>
    <col min="14862" max="14862" width="11" style="76" customWidth="1"/>
    <col min="14863" max="15106" width="8.85546875" style="76"/>
    <col min="15107" max="15107" width="23.140625" style="76" customWidth="1"/>
    <col min="15108" max="15108" width="17.28515625" style="76" customWidth="1"/>
    <col min="15109" max="15109" width="8.85546875" style="76"/>
    <col min="15110" max="15110" width="23.42578125" style="76" customWidth="1"/>
    <col min="15111" max="15111" width="19.7109375" style="76" customWidth="1"/>
    <col min="15112" max="15112" width="25.42578125" style="76" customWidth="1"/>
    <col min="15113" max="15113" width="24.42578125" style="76" customWidth="1"/>
    <col min="15114" max="15114" width="11.42578125" style="76" bestFit="1" customWidth="1"/>
    <col min="15115" max="15115" width="16.140625" style="76" customWidth="1"/>
    <col min="15116" max="15116" width="15.42578125" style="76" customWidth="1"/>
    <col min="15117" max="15117" width="8.85546875" style="76"/>
    <col min="15118" max="15118" width="11" style="76" customWidth="1"/>
    <col min="15119" max="15362" width="8.85546875" style="76"/>
    <col min="15363" max="15363" width="23.140625" style="76" customWidth="1"/>
    <col min="15364" max="15364" width="17.28515625" style="76" customWidth="1"/>
    <col min="15365" max="15365" width="8.85546875" style="76"/>
    <col min="15366" max="15366" width="23.42578125" style="76" customWidth="1"/>
    <col min="15367" max="15367" width="19.7109375" style="76" customWidth="1"/>
    <col min="15368" max="15368" width="25.42578125" style="76" customWidth="1"/>
    <col min="15369" max="15369" width="24.42578125" style="76" customWidth="1"/>
    <col min="15370" max="15370" width="11.42578125" style="76" bestFit="1" customWidth="1"/>
    <col min="15371" max="15371" width="16.140625" style="76" customWidth="1"/>
    <col min="15372" max="15372" width="15.42578125" style="76" customWidth="1"/>
    <col min="15373" max="15373" width="8.85546875" style="76"/>
    <col min="15374" max="15374" width="11" style="76" customWidth="1"/>
    <col min="15375" max="15618" width="8.85546875" style="76"/>
    <col min="15619" max="15619" width="23.140625" style="76" customWidth="1"/>
    <col min="15620" max="15620" width="17.28515625" style="76" customWidth="1"/>
    <col min="15621" max="15621" width="8.85546875" style="76"/>
    <col min="15622" max="15622" width="23.42578125" style="76" customWidth="1"/>
    <col min="15623" max="15623" width="19.7109375" style="76" customWidth="1"/>
    <col min="15624" max="15624" width="25.42578125" style="76" customWidth="1"/>
    <col min="15625" max="15625" width="24.42578125" style="76" customWidth="1"/>
    <col min="15626" max="15626" width="11.42578125" style="76" bestFit="1" customWidth="1"/>
    <col min="15627" max="15627" width="16.140625" style="76" customWidth="1"/>
    <col min="15628" max="15628" width="15.42578125" style="76" customWidth="1"/>
    <col min="15629" max="15629" width="8.85546875" style="76"/>
    <col min="15630" max="15630" width="11" style="76" customWidth="1"/>
    <col min="15631" max="15874" width="8.85546875" style="76"/>
    <col min="15875" max="15875" width="23.140625" style="76" customWidth="1"/>
    <col min="15876" max="15876" width="17.28515625" style="76" customWidth="1"/>
    <col min="15877" max="15877" width="8.85546875" style="76"/>
    <col min="15878" max="15878" width="23.42578125" style="76" customWidth="1"/>
    <col min="15879" max="15879" width="19.7109375" style="76" customWidth="1"/>
    <col min="15880" max="15880" width="25.42578125" style="76" customWidth="1"/>
    <col min="15881" max="15881" width="24.42578125" style="76" customWidth="1"/>
    <col min="15882" max="15882" width="11.42578125" style="76" bestFit="1" customWidth="1"/>
    <col min="15883" max="15883" width="16.140625" style="76" customWidth="1"/>
    <col min="15884" max="15884" width="15.42578125" style="76" customWidth="1"/>
    <col min="15885" max="15885" width="8.85546875" style="76"/>
    <col min="15886" max="15886" width="11" style="76" customWidth="1"/>
    <col min="15887" max="16130" width="8.85546875" style="76"/>
    <col min="16131" max="16131" width="23.140625" style="76" customWidth="1"/>
    <col min="16132" max="16132" width="17.28515625" style="76" customWidth="1"/>
    <col min="16133" max="16133" width="8.85546875" style="76"/>
    <col min="16134" max="16134" width="23.42578125" style="76" customWidth="1"/>
    <col min="16135" max="16135" width="19.7109375" style="76" customWidth="1"/>
    <col min="16136" max="16136" width="25.42578125" style="76" customWidth="1"/>
    <col min="16137" max="16137" width="24.42578125" style="76" customWidth="1"/>
    <col min="16138" max="16138" width="11.42578125" style="76" bestFit="1" customWidth="1"/>
    <col min="16139" max="16139" width="16.140625" style="76" customWidth="1"/>
    <col min="16140" max="16140" width="15.42578125" style="76" customWidth="1"/>
    <col min="16141" max="16141" width="8.85546875" style="76"/>
    <col min="16142" max="16142" width="11" style="76" customWidth="1"/>
    <col min="16143" max="16384" width="8.85546875" style="76"/>
  </cols>
  <sheetData>
    <row r="2" spans="2:26" x14ac:dyDescent="0.2">
      <c r="B2" s="2" t="s">
        <v>13</v>
      </c>
    </row>
    <row r="3" spans="2:26" x14ac:dyDescent="0.2">
      <c r="B3" s="76" t="s">
        <v>191</v>
      </c>
      <c r="X3" s="76"/>
      <c r="Y3" s="76"/>
      <c r="Z3" s="76"/>
    </row>
    <row r="4" spans="2:26" x14ac:dyDescent="0.2">
      <c r="B4" s="11" t="s">
        <v>212</v>
      </c>
      <c r="X4" s="76"/>
      <c r="Y4" s="76"/>
      <c r="Z4" s="76"/>
    </row>
    <row r="5" spans="2:26" ht="5.0999999999999996" customHeight="1" x14ac:dyDescent="0.2">
      <c r="B5" s="16"/>
      <c r="C5" s="18"/>
      <c r="D5" s="18"/>
      <c r="K5" s="76"/>
      <c r="L5" s="76"/>
      <c r="M5" s="76"/>
      <c r="N5" s="76"/>
      <c r="O5" s="76"/>
      <c r="P5" s="76"/>
      <c r="Q5" s="76"/>
      <c r="R5" s="76"/>
      <c r="S5" s="76"/>
      <c r="T5" s="76"/>
      <c r="U5" s="76"/>
      <c r="V5" s="76"/>
      <c r="W5" s="76"/>
      <c r="X5" s="76"/>
      <c r="Y5" s="76"/>
      <c r="Z5" s="76"/>
    </row>
    <row r="6" spans="2:26" x14ac:dyDescent="0.2">
      <c r="B6" s="19" t="s">
        <v>207</v>
      </c>
      <c r="C6" s="284" t="s">
        <v>281</v>
      </c>
      <c r="D6" s="284" t="s">
        <v>282</v>
      </c>
      <c r="E6" s="286"/>
      <c r="G6" s="11"/>
      <c r="K6" s="76"/>
      <c r="L6" s="76"/>
      <c r="M6" s="76"/>
      <c r="N6" s="76"/>
      <c r="O6" s="76"/>
      <c r="P6" s="76"/>
      <c r="Q6" s="76"/>
      <c r="R6" s="76"/>
      <c r="S6" s="76"/>
      <c r="T6" s="76"/>
      <c r="U6" s="76"/>
      <c r="V6" s="76"/>
      <c r="W6" s="76"/>
      <c r="X6" s="76"/>
      <c r="Y6" s="76"/>
      <c r="Z6" s="76"/>
    </row>
    <row r="7" spans="2:26" x14ac:dyDescent="0.2">
      <c r="B7" s="25" t="s">
        <v>169</v>
      </c>
      <c r="C7" s="217">
        <v>27300</v>
      </c>
      <c r="D7" s="217">
        <f>C7*'CPI Data'!$D$8</f>
        <v>27590.222309146618</v>
      </c>
      <c r="E7" s="67"/>
      <c r="K7" s="76"/>
      <c r="L7" s="76"/>
      <c r="M7" s="76"/>
      <c r="N7" s="76"/>
      <c r="O7" s="76"/>
      <c r="P7" s="76"/>
      <c r="Q7" s="76"/>
      <c r="R7" s="76"/>
      <c r="S7" s="76"/>
      <c r="T7" s="76"/>
      <c r="U7" s="76"/>
      <c r="V7" s="76"/>
      <c r="W7" s="76"/>
      <c r="X7" s="76"/>
      <c r="Y7" s="76"/>
      <c r="Z7" s="76"/>
    </row>
    <row r="8" spans="2:26" x14ac:dyDescent="0.2">
      <c r="B8" s="25" t="s">
        <v>170</v>
      </c>
      <c r="C8" s="67">
        <v>427700</v>
      </c>
      <c r="D8" s="67">
        <f>C8*'CPI Data'!$D$8</f>
        <v>432246.81617663038</v>
      </c>
      <c r="E8" s="67"/>
      <c r="K8" s="76"/>
      <c r="L8" s="76"/>
      <c r="M8" s="76"/>
      <c r="N8" s="76"/>
      <c r="O8" s="76"/>
      <c r="P8" s="76"/>
      <c r="Q8" s="76"/>
      <c r="R8" s="76"/>
      <c r="S8" s="76"/>
      <c r="T8" s="76"/>
      <c r="U8" s="76"/>
      <c r="V8" s="76"/>
      <c r="W8" s="76"/>
      <c r="X8" s="76"/>
      <c r="Y8" s="76"/>
      <c r="Z8" s="76"/>
    </row>
    <row r="9" spans="2:26" x14ac:dyDescent="0.2">
      <c r="B9" s="25" t="s">
        <v>171</v>
      </c>
      <c r="C9" s="67">
        <v>955500</v>
      </c>
      <c r="D9" s="67">
        <f>C9*'CPI Data'!$D$8</f>
        <v>965657.78082013165</v>
      </c>
      <c r="E9" s="67"/>
      <c r="K9" s="76"/>
      <c r="L9" s="76"/>
      <c r="M9" s="76"/>
      <c r="N9" s="76"/>
      <c r="O9" s="76"/>
      <c r="P9" s="76"/>
      <c r="Q9" s="76"/>
      <c r="R9" s="76"/>
      <c r="S9" s="76"/>
      <c r="T9" s="76"/>
      <c r="U9" s="76"/>
      <c r="V9" s="76"/>
      <c r="W9" s="76"/>
      <c r="X9" s="76"/>
      <c r="Y9" s="76"/>
      <c r="Z9" s="76"/>
    </row>
    <row r="10" spans="2:26" x14ac:dyDescent="0.2">
      <c r="B10" s="25" t="s">
        <v>172</v>
      </c>
      <c r="C10" s="67">
        <v>2420600</v>
      </c>
      <c r="D10" s="67">
        <f>C10*'CPI Data'!$D$8</f>
        <v>2446333.0447443337</v>
      </c>
      <c r="E10" s="67"/>
      <c r="K10" s="76"/>
      <c r="L10" s="76"/>
      <c r="M10" s="76"/>
      <c r="N10" s="76"/>
      <c r="O10" s="76"/>
      <c r="P10" s="76"/>
      <c r="Q10" s="76"/>
      <c r="R10" s="76"/>
      <c r="S10" s="76"/>
      <c r="T10" s="76"/>
      <c r="U10" s="76"/>
      <c r="V10" s="76"/>
      <c r="W10" s="76"/>
      <c r="X10" s="76"/>
      <c r="Y10" s="76"/>
      <c r="Z10" s="76"/>
    </row>
    <row r="11" spans="2:26" ht="14.25" customHeight="1" x14ac:dyDescent="0.2">
      <c r="B11" s="25" t="s">
        <v>173</v>
      </c>
      <c r="C11" s="67">
        <v>5396300</v>
      </c>
      <c r="D11" s="67">
        <f>C11*'CPI Data'!$D$8</f>
        <v>5453667.2764413152</v>
      </c>
      <c r="E11" s="67"/>
      <c r="K11" s="76"/>
      <c r="L11" s="76"/>
      <c r="M11" s="76"/>
      <c r="N11" s="76"/>
      <c r="O11" s="76"/>
      <c r="P11" s="76"/>
      <c r="Q11" s="76"/>
      <c r="R11" s="76"/>
      <c r="S11" s="76"/>
      <c r="T11" s="76"/>
      <c r="U11" s="76"/>
      <c r="V11" s="76"/>
      <c r="W11" s="76"/>
      <c r="X11" s="76"/>
      <c r="Y11" s="76"/>
      <c r="Z11" s="76"/>
    </row>
    <row r="12" spans="2:26" x14ac:dyDescent="0.2">
      <c r="B12" s="29" t="s">
        <v>174</v>
      </c>
      <c r="C12" s="15">
        <v>9100000</v>
      </c>
      <c r="D12" s="15">
        <f>C12*'CPI Data'!$D$8</f>
        <v>9196740.7697155401</v>
      </c>
      <c r="E12" s="67"/>
      <c r="K12" s="76"/>
      <c r="L12" s="76"/>
      <c r="M12" s="76"/>
      <c r="N12" s="76"/>
      <c r="O12" s="76"/>
      <c r="P12" s="76"/>
      <c r="Q12" s="76"/>
      <c r="R12" s="76"/>
      <c r="S12" s="76"/>
      <c r="T12" s="76"/>
      <c r="U12" s="76"/>
      <c r="V12" s="76"/>
      <c r="W12" s="76"/>
      <c r="X12" s="76"/>
      <c r="Y12" s="76"/>
      <c r="Z12" s="76"/>
    </row>
    <row r="13" spans="2:26" x14ac:dyDescent="0.2">
      <c r="B13" s="25" t="s">
        <v>317</v>
      </c>
      <c r="C13" s="67"/>
      <c r="D13" s="67"/>
      <c r="E13" s="67"/>
      <c r="K13" s="76"/>
      <c r="L13" s="76"/>
      <c r="M13" s="76"/>
      <c r="N13" s="76"/>
      <c r="O13" s="76"/>
      <c r="P13" s="76"/>
      <c r="Q13" s="76"/>
      <c r="R13" s="76"/>
      <c r="S13" s="76"/>
      <c r="T13" s="76"/>
      <c r="U13" s="76"/>
      <c r="V13" s="76"/>
      <c r="W13" s="76"/>
      <c r="X13" s="76"/>
      <c r="Y13" s="76"/>
      <c r="Z13" s="76"/>
    </row>
    <row r="14" spans="2:26" ht="24.95" customHeight="1" x14ac:dyDescent="0.2">
      <c r="B14" s="547" t="s">
        <v>208</v>
      </c>
      <c r="C14" s="547"/>
      <c r="D14" s="241"/>
      <c r="K14" s="76"/>
      <c r="L14" s="76"/>
      <c r="M14" s="76"/>
      <c r="N14" s="76"/>
      <c r="O14" s="76"/>
      <c r="P14" s="76"/>
      <c r="Q14" s="76"/>
      <c r="R14" s="76"/>
      <c r="S14" s="76"/>
      <c r="T14" s="76"/>
      <c r="U14" s="76"/>
      <c r="V14" s="76"/>
      <c r="W14" s="76"/>
      <c r="X14" s="76"/>
      <c r="Y14" s="76"/>
      <c r="Z14" s="76"/>
    </row>
    <row r="15" spans="2:26" ht="15" customHeight="1" x14ac:dyDescent="0.2">
      <c r="B15" s="241"/>
      <c r="C15" s="241"/>
      <c r="D15" s="241"/>
      <c r="K15" s="76"/>
      <c r="L15" s="76"/>
      <c r="M15" s="76"/>
      <c r="N15" s="76"/>
      <c r="O15" s="76"/>
      <c r="P15" s="76"/>
      <c r="Q15" s="76"/>
      <c r="R15" s="76"/>
      <c r="S15" s="76"/>
      <c r="T15" s="76"/>
      <c r="U15" s="76"/>
      <c r="V15" s="76"/>
      <c r="W15" s="76"/>
      <c r="X15" s="76"/>
      <c r="Y15" s="76"/>
      <c r="Z15" s="76"/>
    </row>
    <row r="16" spans="2:26" ht="15" customHeight="1" x14ac:dyDescent="0.2">
      <c r="B16" s="19" t="s">
        <v>209</v>
      </c>
      <c r="C16" s="284" t="s">
        <v>283</v>
      </c>
      <c r="D16" s="284" t="s">
        <v>282</v>
      </c>
      <c r="K16" s="76"/>
      <c r="L16" s="76"/>
      <c r="M16" s="76"/>
      <c r="N16" s="76"/>
      <c r="O16" s="76"/>
      <c r="P16" s="76"/>
      <c r="Q16" s="76"/>
      <c r="R16" s="76"/>
      <c r="S16" s="76"/>
      <c r="T16" s="76"/>
      <c r="U16" s="76"/>
      <c r="V16" s="76"/>
      <c r="W16" s="76"/>
      <c r="X16" s="76"/>
      <c r="Y16" s="76"/>
      <c r="Z16" s="76"/>
    </row>
    <row r="17" spans="2:26" ht="14.25" customHeight="1" x14ac:dyDescent="0.2">
      <c r="B17" s="29" t="s">
        <v>175</v>
      </c>
      <c r="C17" s="15">
        <v>3206</v>
      </c>
      <c r="D17" s="287">
        <f>C17*'CPI Data'!D9</f>
        <v>3419.5578439422229</v>
      </c>
      <c r="K17" s="76"/>
      <c r="L17" s="76"/>
      <c r="M17" s="76"/>
      <c r="N17" s="76"/>
      <c r="O17" s="76"/>
      <c r="P17" s="76"/>
      <c r="Q17" s="76"/>
      <c r="R17" s="76"/>
      <c r="S17" s="76"/>
      <c r="T17" s="76"/>
      <c r="U17" s="76"/>
      <c r="V17" s="76"/>
      <c r="W17" s="76"/>
      <c r="X17" s="76"/>
      <c r="Y17" s="76"/>
      <c r="Z17" s="76"/>
    </row>
    <row r="18" spans="2:26" ht="24.95" customHeight="1" x14ac:dyDescent="0.2">
      <c r="B18" s="548" t="s">
        <v>210</v>
      </c>
      <c r="C18" s="548"/>
      <c r="D18" s="241"/>
      <c r="K18" s="76"/>
      <c r="L18" s="76"/>
      <c r="M18" s="76"/>
      <c r="N18" s="76"/>
      <c r="O18" s="76"/>
      <c r="P18" s="76"/>
      <c r="Q18" s="76"/>
      <c r="R18" s="76"/>
      <c r="S18" s="76"/>
      <c r="T18" s="76"/>
      <c r="U18" s="76"/>
      <c r="V18" s="76"/>
      <c r="W18" s="76"/>
      <c r="X18" s="76"/>
      <c r="Y18" s="76"/>
      <c r="Z18" s="76"/>
    </row>
    <row r="19" spans="2:26" ht="15" customHeight="1" x14ac:dyDescent="0.2">
      <c r="B19" s="25"/>
      <c r="C19" s="68"/>
      <c r="D19" s="68"/>
      <c r="K19" s="76"/>
      <c r="L19" s="76"/>
      <c r="M19" s="76"/>
      <c r="N19" s="76"/>
      <c r="O19" s="76"/>
      <c r="P19" s="76"/>
      <c r="Q19" s="76"/>
      <c r="R19" s="76"/>
      <c r="S19" s="76"/>
      <c r="T19" s="76"/>
      <c r="U19" s="76"/>
      <c r="V19" s="76"/>
      <c r="W19" s="76"/>
      <c r="X19" s="76"/>
      <c r="Y19" s="76"/>
      <c r="Z19" s="76"/>
    </row>
    <row r="20" spans="2:26" ht="14.25" customHeight="1" x14ac:dyDescent="0.2">
      <c r="B20" s="19" t="s">
        <v>176</v>
      </c>
      <c r="C20" s="14"/>
      <c r="D20" s="16"/>
      <c r="K20" s="76"/>
      <c r="L20" s="76"/>
      <c r="M20" s="76"/>
      <c r="N20" s="76"/>
      <c r="O20" s="76"/>
      <c r="P20" s="76"/>
      <c r="Q20" s="76"/>
      <c r="R20" s="76"/>
      <c r="S20" s="76"/>
      <c r="T20" s="76"/>
      <c r="U20" s="76"/>
      <c r="V20" s="76"/>
      <c r="W20" s="76"/>
      <c r="X20" s="76"/>
      <c r="Y20" s="76"/>
      <c r="Z20" s="76"/>
    </row>
    <row r="21" spans="2:26" x14ac:dyDescent="0.2">
      <c r="B21" s="25" t="s">
        <v>177</v>
      </c>
      <c r="C21" s="16">
        <v>0.21540000000000001</v>
      </c>
      <c r="D21" s="16"/>
      <c r="K21" s="76"/>
      <c r="L21" s="76"/>
      <c r="M21" s="76"/>
      <c r="N21" s="76"/>
      <c r="O21" s="76"/>
      <c r="P21" s="76"/>
      <c r="Q21" s="76"/>
      <c r="R21" s="76"/>
      <c r="S21" s="76"/>
      <c r="T21" s="76"/>
      <c r="U21" s="76"/>
      <c r="V21" s="76"/>
      <c r="W21" s="76"/>
      <c r="X21" s="76"/>
      <c r="Y21" s="76"/>
      <c r="Z21" s="76"/>
    </row>
    <row r="22" spans="2:26" x14ac:dyDescent="0.2">
      <c r="B22" s="25" t="s">
        <v>169</v>
      </c>
      <c r="C22" s="16">
        <v>0.62729999999999997</v>
      </c>
      <c r="D22" s="16"/>
      <c r="K22" s="76"/>
      <c r="L22" s="76"/>
      <c r="M22" s="76"/>
      <c r="N22" s="76"/>
      <c r="O22" s="76"/>
      <c r="P22" s="76"/>
      <c r="Q22" s="76"/>
      <c r="R22" s="76"/>
      <c r="S22" s="76"/>
      <c r="T22" s="76"/>
      <c r="U22" s="76"/>
      <c r="V22" s="76"/>
      <c r="W22" s="76"/>
      <c r="X22" s="76"/>
      <c r="Y22" s="76"/>
      <c r="Z22" s="76"/>
    </row>
    <row r="23" spans="2:26" x14ac:dyDescent="0.2">
      <c r="B23" s="25" t="s">
        <v>170</v>
      </c>
      <c r="C23" s="219">
        <v>0.104</v>
      </c>
      <c r="D23" s="219"/>
      <c r="K23" s="76"/>
      <c r="L23" s="76"/>
      <c r="M23" s="76"/>
      <c r="N23" s="76"/>
      <c r="O23" s="76"/>
      <c r="P23" s="76"/>
      <c r="Q23" s="76"/>
      <c r="R23" s="76"/>
      <c r="S23" s="76"/>
      <c r="T23" s="76"/>
      <c r="U23" s="76"/>
      <c r="V23" s="76"/>
      <c r="W23" s="76"/>
      <c r="X23" s="76"/>
      <c r="Y23" s="76"/>
      <c r="Z23" s="76"/>
    </row>
    <row r="24" spans="2:26" x14ac:dyDescent="0.2">
      <c r="B24" s="25" t="s">
        <v>171</v>
      </c>
      <c r="C24" s="219">
        <v>3.8600000000000002E-2</v>
      </c>
      <c r="D24" s="219"/>
      <c r="K24" s="76"/>
      <c r="L24" s="76"/>
      <c r="M24" s="76"/>
      <c r="N24" s="76"/>
      <c r="O24" s="76"/>
      <c r="P24" s="76"/>
      <c r="Q24" s="76"/>
      <c r="R24" s="76"/>
      <c r="S24" s="76"/>
      <c r="T24" s="76"/>
      <c r="U24" s="76"/>
      <c r="V24" s="76"/>
      <c r="W24" s="76"/>
      <c r="X24" s="76"/>
      <c r="Y24" s="76"/>
      <c r="Z24" s="76"/>
    </row>
    <row r="25" spans="2:26" x14ac:dyDescent="0.2">
      <c r="B25" s="25" t="s">
        <v>172</v>
      </c>
      <c r="C25" s="219">
        <v>4.4000000000000003E-3</v>
      </c>
      <c r="D25" s="219"/>
      <c r="K25" s="76"/>
      <c r="L25" s="76"/>
      <c r="M25" s="76"/>
      <c r="N25" s="76"/>
      <c r="O25" s="76"/>
      <c r="P25" s="76"/>
      <c r="Q25" s="76"/>
      <c r="R25" s="76"/>
      <c r="S25" s="76"/>
      <c r="T25" s="76"/>
      <c r="U25" s="76"/>
      <c r="V25" s="76"/>
      <c r="W25" s="76"/>
      <c r="X25" s="76"/>
      <c r="Y25" s="76"/>
      <c r="Z25" s="76"/>
    </row>
    <row r="26" spans="2:26" x14ac:dyDescent="0.2">
      <c r="B26" s="25" t="s">
        <v>173</v>
      </c>
      <c r="C26" s="219">
        <v>1.03E-2</v>
      </c>
      <c r="D26" s="219"/>
      <c r="K26" s="76"/>
      <c r="L26" s="76"/>
      <c r="M26" s="76"/>
      <c r="N26" s="76"/>
      <c r="O26" s="76"/>
      <c r="P26" s="76"/>
      <c r="Q26" s="76"/>
      <c r="R26" s="76"/>
      <c r="S26" s="76"/>
      <c r="T26" s="76"/>
      <c r="U26" s="76"/>
      <c r="V26" s="76"/>
      <c r="W26" s="76"/>
      <c r="X26" s="76"/>
      <c r="Y26" s="76"/>
      <c r="Z26" s="76"/>
    </row>
    <row r="27" spans="2:26" x14ac:dyDescent="0.2">
      <c r="B27" s="29" t="s">
        <v>174</v>
      </c>
      <c r="C27" s="240">
        <v>0</v>
      </c>
      <c r="D27" s="219"/>
      <c r="K27" s="76"/>
      <c r="L27" s="76"/>
      <c r="M27" s="76"/>
      <c r="N27" s="76"/>
      <c r="O27" s="76"/>
      <c r="P27" s="76"/>
      <c r="Q27" s="76"/>
      <c r="R27" s="76"/>
      <c r="S27" s="76"/>
      <c r="T27" s="76"/>
      <c r="U27" s="76"/>
      <c r="V27" s="76"/>
      <c r="W27" s="76"/>
      <c r="X27" s="76"/>
      <c r="Y27" s="76"/>
      <c r="Z27" s="76"/>
    </row>
    <row r="28" spans="2:26" x14ac:dyDescent="0.2">
      <c r="B28" s="220" t="s">
        <v>284</v>
      </c>
      <c r="C28" s="221">
        <f>(D7*C22)+(D8*C23)+(D9*C24)+(D10*C25)+(D11*C26)</f>
        <v>166472.04402077492</v>
      </c>
      <c r="D28" s="285"/>
      <c r="K28" s="76"/>
      <c r="L28" s="76"/>
      <c r="M28" s="76"/>
      <c r="N28" s="76"/>
      <c r="O28" s="76"/>
      <c r="P28" s="76"/>
      <c r="Q28" s="76"/>
      <c r="R28" s="76"/>
      <c r="S28" s="76"/>
      <c r="T28" s="76"/>
      <c r="U28" s="76"/>
      <c r="V28" s="76"/>
      <c r="W28" s="76"/>
      <c r="X28" s="76"/>
      <c r="Y28" s="76"/>
      <c r="Z28" s="76"/>
    </row>
    <row r="29" spans="2:26" x14ac:dyDescent="0.2">
      <c r="B29" s="218" t="s">
        <v>211</v>
      </c>
      <c r="C29" s="68"/>
      <c r="D29" s="68"/>
      <c r="K29" s="76"/>
      <c r="L29" s="76"/>
      <c r="M29" s="76"/>
      <c r="N29" s="76"/>
      <c r="O29" s="76"/>
      <c r="P29" s="76"/>
      <c r="Q29" s="76"/>
      <c r="R29" s="76"/>
      <c r="S29" s="76"/>
      <c r="T29" s="76"/>
      <c r="U29" s="76"/>
      <c r="V29" s="76"/>
      <c r="W29" s="76"/>
      <c r="X29" s="76"/>
      <c r="Y29" s="76"/>
      <c r="Z29" s="76"/>
    </row>
    <row r="30" spans="2:26" x14ac:dyDescent="0.2">
      <c r="B30" s="25"/>
      <c r="C30" s="68"/>
      <c r="D30" s="68"/>
      <c r="K30" s="76"/>
      <c r="L30" s="76"/>
      <c r="M30" s="76"/>
      <c r="N30" s="76"/>
      <c r="O30" s="76"/>
      <c r="P30" s="76"/>
      <c r="Q30" s="76"/>
      <c r="R30" s="76"/>
      <c r="S30" s="76"/>
      <c r="T30" s="76"/>
      <c r="U30" s="76"/>
      <c r="V30" s="76"/>
      <c r="W30" s="76"/>
      <c r="X30" s="76"/>
      <c r="Y30" s="76"/>
      <c r="Z30" s="76"/>
    </row>
  </sheetData>
  <mergeCells count="2">
    <mergeCell ref="B14:C14"/>
    <mergeCell ref="B18:C18"/>
  </mergeCells>
  <pageMargins left="0.25" right="0.25" top="0.75" bottom="0.75" header="0.3" footer="0.3"/>
  <pageSetup firstPageNumber="10" orientation="landscape" useFirstPageNumber="1" r:id="rId1"/>
  <colBreaks count="1" manualBreakCount="1">
    <brk id="6" max="12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2:Q33"/>
  <sheetViews>
    <sheetView showGridLines="0" view="pageBreakPreview" zoomScale="60" zoomScaleNormal="100" workbookViewId="0"/>
  </sheetViews>
  <sheetFormatPr defaultRowHeight="14.25" x14ac:dyDescent="0.2"/>
  <cols>
    <col min="1" max="1" width="9.140625" style="76"/>
    <col min="2" max="2" width="25.7109375" style="76" customWidth="1"/>
    <col min="3" max="3" width="12.140625" style="76" customWidth="1"/>
    <col min="4" max="4" width="21" style="76" customWidth="1"/>
    <col min="5" max="16384" width="9.140625" style="76"/>
  </cols>
  <sheetData>
    <row r="2" spans="2:4" x14ac:dyDescent="0.2">
      <c r="B2" s="2" t="s">
        <v>13</v>
      </c>
    </row>
    <row r="3" spans="2:4" x14ac:dyDescent="0.2">
      <c r="B3" s="76" t="s">
        <v>191</v>
      </c>
    </row>
    <row r="4" spans="2:4" x14ac:dyDescent="0.2">
      <c r="B4" s="11" t="s">
        <v>313</v>
      </c>
    </row>
    <row r="5" spans="2:4" ht="5.0999999999999996" customHeight="1" x14ac:dyDescent="0.2"/>
    <row r="6" spans="2:4" x14ac:dyDescent="0.2">
      <c r="B6" s="288" t="s">
        <v>15</v>
      </c>
      <c r="C6" s="289" t="s">
        <v>314</v>
      </c>
      <c r="D6" s="289" t="s">
        <v>315</v>
      </c>
    </row>
    <row r="7" spans="2:4" x14ac:dyDescent="0.2">
      <c r="B7" s="290">
        <v>2013</v>
      </c>
      <c r="C7" s="291">
        <f>F33</f>
        <v>232.53100000000001</v>
      </c>
      <c r="D7" s="291">
        <f>C7/C7</f>
        <v>1</v>
      </c>
    </row>
    <row r="8" spans="2:4" x14ac:dyDescent="0.2">
      <c r="B8" s="85">
        <v>2012</v>
      </c>
      <c r="C8" s="291">
        <f>F32</f>
        <v>230.08500000000001</v>
      </c>
      <c r="D8" s="291">
        <f>C7/C8</f>
        <v>1.0106308538148945</v>
      </c>
    </row>
    <row r="9" spans="2:4" x14ac:dyDescent="0.2">
      <c r="B9" s="86">
        <v>2010</v>
      </c>
      <c r="C9" s="292">
        <f>F30</f>
        <v>218.00899999999999</v>
      </c>
      <c r="D9" s="292">
        <f>C7/C9</f>
        <v>1.0666119288653222</v>
      </c>
    </row>
    <row r="10" spans="2:4" ht="30" customHeight="1" x14ac:dyDescent="0.2">
      <c r="B10" s="549" t="s">
        <v>316</v>
      </c>
      <c r="C10" s="549"/>
      <c r="D10" s="549"/>
    </row>
    <row r="11" spans="2:4" x14ac:dyDescent="0.2">
      <c r="B11" s="85"/>
      <c r="C11" s="89"/>
      <c r="D11" s="89"/>
    </row>
    <row r="12" spans="2:4" ht="15.75" x14ac:dyDescent="0.25">
      <c r="B12" s="478" t="s">
        <v>285</v>
      </c>
    </row>
    <row r="13" spans="2:4" ht="15.75" x14ac:dyDescent="0.25">
      <c r="B13" s="478" t="s">
        <v>286</v>
      </c>
    </row>
    <row r="15" spans="2:4" ht="25.5" x14ac:dyDescent="0.2">
      <c r="B15" s="479" t="s">
        <v>287</v>
      </c>
      <c r="C15" s="480" t="s">
        <v>288</v>
      </c>
    </row>
    <row r="16" spans="2:4" x14ac:dyDescent="0.2">
      <c r="B16" s="479" t="s">
        <v>289</v>
      </c>
    </row>
    <row r="17" spans="2:17" ht="15" customHeight="1" x14ac:dyDescent="0.2">
      <c r="B17" s="479" t="s">
        <v>290</v>
      </c>
      <c r="C17" s="480" t="s">
        <v>291</v>
      </c>
    </row>
    <row r="18" spans="2:17" ht="15" customHeight="1" x14ac:dyDescent="0.2">
      <c r="B18" s="479" t="s">
        <v>292</v>
      </c>
      <c r="C18" s="480" t="s">
        <v>293</v>
      </c>
    </row>
    <row r="19" spans="2:17" x14ac:dyDescent="0.2">
      <c r="B19" s="479" t="s">
        <v>294</v>
      </c>
      <c r="C19" s="480" t="s">
        <v>295</v>
      </c>
    </row>
    <row r="20" spans="2:17" x14ac:dyDescent="0.2">
      <c r="B20" s="479" t="s">
        <v>296</v>
      </c>
      <c r="C20" s="481" t="s">
        <v>297</v>
      </c>
    </row>
    <row r="22" spans="2:17" ht="15" thickBot="1" x14ac:dyDescent="0.25">
      <c r="B22" s="482" t="s">
        <v>15</v>
      </c>
      <c r="C22" s="482" t="s">
        <v>298</v>
      </c>
      <c r="D22" s="482" t="s">
        <v>299</v>
      </c>
      <c r="E22" s="482" t="s">
        <v>300</v>
      </c>
      <c r="F22" s="482" t="s">
        <v>301</v>
      </c>
      <c r="G22" s="482" t="s">
        <v>302</v>
      </c>
      <c r="H22" s="482" t="s">
        <v>303</v>
      </c>
      <c r="I22" s="482" t="s">
        <v>304</v>
      </c>
      <c r="J22" s="482" t="s">
        <v>305</v>
      </c>
      <c r="K22" s="482" t="s">
        <v>306</v>
      </c>
      <c r="L22" s="482" t="s">
        <v>307</v>
      </c>
      <c r="M22" s="482" t="s">
        <v>308</v>
      </c>
      <c r="N22" s="482" t="s">
        <v>309</v>
      </c>
      <c r="O22" s="482" t="s">
        <v>310</v>
      </c>
      <c r="P22" s="482" t="s">
        <v>311</v>
      </c>
      <c r="Q22" s="482" t="s">
        <v>312</v>
      </c>
    </row>
    <row r="23" spans="2:17" ht="15" thickTop="1" x14ac:dyDescent="0.2">
      <c r="B23" s="483">
        <v>2003</v>
      </c>
      <c r="C23" s="484">
        <v>181.7</v>
      </c>
      <c r="D23" s="484">
        <v>183.1</v>
      </c>
      <c r="E23" s="484">
        <v>184.2</v>
      </c>
      <c r="F23" s="484">
        <v>183.8</v>
      </c>
      <c r="G23" s="484">
        <v>183.5</v>
      </c>
      <c r="H23" s="484">
        <v>183.7</v>
      </c>
      <c r="I23" s="484">
        <v>183.9</v>
      </c>
      <c r="J23" s="484">
        <v>184.6</v>
      </c>
      <c r="K23" s="484">
        <v>185.2</v>
      </c>
      <c r="L23" s="484">
        <v>185</v>
      </c>
      <c r="M23" s="484">
        <v>184.5</v>
      </c>
      <c r="N23" s="484">
        <v>184.3</v>
      </c>
      <c r="O23" s="484">
        <v>184</v>
      </c>
      <c r="P23" s="484">
        <v>183.3</v>
      </c>
      <c r="Q23" s="484">
        <v>184.6</v>
      </c>
    </row>
    <row r="24" spans="2:17" x14ac:dyDescent="0.2">
      <c r="B24" s="483">
        <v>2004</v>
      </c>
      <c r="C24" s="484">
        <v>185.2</v>
      </c>
      <c r="D24" s="484">
        <v>186.2</v>
      </c>
      <c r="E24" s="484">
        <v>187.4</v>
      </c>
      <c r="F24" s="484">
        <v>188</v>
      </c>
      <c r="G24" s="484">
        <v>189.1</v>
      </c>
      <c r="H24" s="484">
        <v>189.7</v>
      </c>
      <c r="I24" s="484">
        <v>189.4</v>
      </c>
      <c r="J24" s="484">
        <v>189.5</v>
      </c>
      <c r="K24" s="484">
        <v>189.9</v>
      </c>
      <c r="L24" s="484">
        <v>190.9</v>
      </c>
      <c r="M24" s="484">
        <v>191</v>
      </c>
      <c r="N24" s="484">
        <v>190.3</v>
      </c>
      <c r="O24" s="484">
        <v>188.9</v>
      </c>
      <c r="P24" s="484">
        <v>187.6</v>
      </c>
      <c r="Q24" s="484">
        <v>190.2</v>
      </c>
    </row>
    <row r="25" spans="2:17" x14ac:dyDescent="0.2">
      <c r="B25" s="483">
        <v>2005</v>
      </c>
      <c r="C25" s="484">
        <v>190.7</v>
      </c>
      <c r="D25" s="484">
        <v>191.8</v>
      </c>
      <c r="E25" s="484">
        <v>193.3</v>
      </c>
      <c r="F25" s="484">
        <v>194.6</v>
      </c>
      <c r="G25" s="484">
        <v>194.4</v>
      </c>
      <c r="H25" s="484">
        <v>194.5</v>
      </c>
      <c r="I25" s="484">
        <v>195.4</v>
      </c>
      <c r="J25" s="484">
        <v>196.4</v>
      </c>
      <c r="K25" s="484">
        <v>198.8</v>
      </c>
      <c r="L25" s="484">
        <v>199.2</v>
      </c>
      <c r="M25" s="484">
        <v>197.6</v>
      </c>
      <c r="N25" s="484">
        <v>196.8</v>
      </c>
      <c r="O25" s="484">
        <v>195.3</v>
      </c>
      <c r="P25" s="484">
        <v>193.2</v>
      </c>
      <c r="Q25" s="484">
        <v>197.4</v>
      </c>
    </row>
    <row r="26" spans="2:17" x14ac:dyDescent="0.2">
      <c r="B26" s="483">
        <v>2006</v>
      </c>
      <c r="C26" s="484">
        <v>198.3</v>
      </c>
      <c r="D26" s="484">
        <v>198.7</v>
      </c>
      <c r="E26" s="484">
        <v>199.8</v>
      </c>
      <c r="F26" s="484">
        <v>201.5</v>
      </c>
      <c r="G26" s="484">
        <v>202.5</v>
      </c>
      <c r="H26" s="484">
        <v>202.9</v>
      </c>
      <c r="I26" s="484">
        <v>203.5</v>
      </c>
      <c r="J26" s="484">
        <v>203.9</v>
      </c>
      <c r="K26" s="484">
        <v>202.9</v>
      </c>
      <c r="L26" s="484">
        <v>201.8</v>
      </c>
      <c r="M26" s="484">
        <v>201.5</v>
      </c>
      <c r="N26" s="484">
        <v>201.8</v>
      </c>
      <c r="O26" s="484">
        <v>201.6</v>
      </c>
      <c r="P26" s="484">
        <v>200.6</v>
      </c>
      <c r="Q26" s="484">
        <v>202.6</v>
      </c>
    </row>
    <row r="27" spans="2:17" x14ac:dyDescent="0.2">
      <c r="B27" s="483">
        <v>2007</v>
      </c>
      <c r="C27" s="485">
        <v>202.416</v>
      </c>
      <c r="D27" s="485">
        <v>203.499</v>
      </c>
      <c r="E27" s="485">
        <v>205.352</v>
      </c>
      <c r="F27" s="485">
        <v>206.68600000000001</v>
      </c>
      <c r="G27" s="485">
        <v>207.94900000000001</v>
      </c>
      <c r="H27" s="485">
        <v>208.352</v>
      </c>
      <c r="I27" s="485">
        <v>208.29900000000001</v>
      </c>
      <c r="J27" s="485">
        <v>207.917</v>
      </c>
      <c r="K27" s="485">
        <v>208.49</v>
      </c>
      <c r="L27" s="485">
        <v>208.93600000000001</v>
      </c>
      <c r="M27" s="485">
        <v>210.17699999999999</v>
      </c>
      <c r="N27" s="485">
        <v>210.036</v>
      </c>
      <c r="O27" s="485">
        <v>207.34200000000001</v>
      </c>
      <c r="P27" s="485">
        <v>205.709</v>
      </c>
      <c r="Q27" s="485">
        <v>208.976</v>
      </c>
    </row>
    <row r="28" spans="2:17" x14ac:dyDescent="0.2">
      <c r="B28" s="483">
        <v>2008</v>
      </c>
      <c r="C28" s="485">
        <v>211.08</v>
      </c>
      <c r="D28" s="485">
        <v>211.69300000000001</v>
      </c>
      <c r="E28" s="485">
        <v>213.52799999999999</v>
      </c>
      <c r="F28" s="485">
        <v>214.82300000000001</v>
      </c>
      <c r="G28" s="485">
        <v>216.63200000000001</v>
      </c>
      <c r="H28" s="485">
        <v>218.815</v>
      </c>
      <c r="I28" s="485">
        <v>219.964</v>
      </c>
      <c r="J28" s="485">
        <v>219.08600000000001</v>
      </c>
      <c r="K28" s="485">
        <v>218.78299999999999</v>
      </c>
      <c r="L28" s="485">
        <v>216.57300000000001</v>
      </c>
      <c r="M28" s="485">
        <v>212.42500000000001</v>
      </c>
      <c r="N28" s="485">
        <v>210.22800000000001</v>
      </c>
      <c r="O28" s="485">
        <v>215.303</v>
      </c>
      <c r="P28" s="485">
        <v>214.429</v>
      </c>
      <c r="Q28" s="485">
        <v>216.17699999999999</v>
      </c>
    </row>
    <row r="29" spans="2:17" x14ac:dyDescent="0.2">
      <c r="B29" s="483">
        <v>2009</v>
      </c>
      <c r="C29" s="485">
        <v>211.143</v>
      </c>
      <c r="D29" s="485">
        <v>212.19300000000001</v>
      </c>
      <c r="E29" s="485">
        <v>212.709</v>
      </c>
      <c r="F29" s="485">
        <v>213.24</v>
      </c>
      <c r="G29" s="485">
        <v>213.85599999999999</v>
      </c>
      <c r="H29" s="485">
        <v>215.69300000000001</v>
      </c>
      <c r="I29" s="485">
        <v>215.351</v>
      </c>
      <c r="J29" s="485">
        <v>215.834</v>
      </c>
      <c r="K29" s="485">
        <v>215.96899999999999</v>
      </c>
      <c r="L29" s="485">
        <v>216.17699999999999</v>
      </c>
      <c r="M29" s="485">
        <v>216.33</v>
      </c>
      <c r="N29" s="485">
        <v>215.94900000000001</v>
      </c>
      <c r="O29" s="485">
        <v>214.53700000000001</v>
      </c>
      <c r="P29" s="485">
        <v>213.13900000000001</v>
      </c>
      <c r="Q29" s="485">
        <v>215.935</v>
      </c>
    </row>
    <row r="30" spans="2:17" x14ac:dyDescent="0.2">
      <c r="B30" s="483">
        <v>2010</v>
      </c>
      <c r="C30" s="485">
        <v>216.68700000000001</v>
      </c>
      <c r="D30" s="485">
        <v>216.74100000000001</v>
      </c>
      <c r="E30" s="485">
        <v>217.631</v>
      </c>
      <c r="F30" s="485">
        <v>218.00899999999999</v>
      </c>
      <c r="G30" s="485">
        <v>218.178</v>
      </c>
      <c r="H30" s="485">
        <v>217.965</v>
      </c>
      <c r="I30" s="485">
        <v>218.011</v>
      </c>
      <c r="J30" s="485">
        <v>218.31200000000001</v>
      </c>
      <c r="K30" s="485">
        <v>218.43899999999999</v>
      </c>
      <c r="L30" s="485">
        <v>218.71100000000001</v>
      </c>
      <c r="M30" s="485">
        <v>218.803</v>
      </c>
      <c r="N30" s="485">
        <v>219.179</v>
      </c>
      <c r="O30" s="485">
        <v>218.05600000000001</v>
      </c>
      <c r="P30" s="485">
        <v>217.535</v>
      </c>
      <c r="Q30" s="485">
        <v>218.57599999999999</v>
      </c>
    </row>
    <row r="31" spans="2:17" x14ac:dyDescent="0.2">
      <c r="B31" s="483">
        <v>2011</v>
      </c>
      <c r="C31" s="485">
        <v>220.22300000000001</v>
      </c>
      <c r="D31" s="485">
        <v>221.309</v>
      </c>
      <c r="E31" s="485">
        <v>223.46700000000001</v>
      </c>
      <c r="F31" s="485">
        <v>224.90600000000001</v>
      </c>
      <c r="G31" s="485">
        <v>225.964</v>
      </c>
      <c r="H31" s="485">
        <v>225.72200000000001</v>
      </c>
      <c r="I31" s="485">
        <v>225.922</v>
      </c>
      <c r="J31" s="485">
        <v>226.54499999999999</v>
      </c>
      <c r="K31" s="485">
        <v>226.88900000000001</v>
      </c>
      <c r="L31" s="485">
        <v>226.42099999999999</v>
      </c>
      <c r="M31" s="485">
        <v>226.23</v>
      </c>
      <c r="N31" s="485">
        <v>225.672</v>
      </c>
      <c r="O31" s="485">
        <v>224.93899999999999</v>
      </c>
      <c r="P31" s="485">
        <v>223.59800000000001</v>
      </c>
      <c r="Q31" s="485">
        <v>226.28</v>
      </c>
    </row>
    <row r="32" spans="2:17" x14ac:dyDescent="0.2">
      <c r="B32" s="483">
        <v>2012</v>
      </c>
      <c r="C32" s="485">
        <v>226.66499999999999</v>
      </c>
      <c r="D32" s="485">
        <v>227.66300000000001</v>
      </c>
      <c r="E32" s="485">
        <v>229.392</v>
      </c>
      <c r="F32" s="485">
        <v>230.08500000000001</v>
      </c>
      <c r="G32" s="485">
        <v>229.815</v>
      </c>
      <c r="H32" s="485">
        <v>229.47800000000001</v>
      </c>
      <c r="I32" s="485">
        <v>229.10400000000001</v>
      </c>
      <c r="J32" s="485">
        <v>230.37899999999999</v>
      </c>
      <c r="K32" s="485">
        <v>231.40700000000001</v>
      </c>
      <c r="L32" s="485">
        <v>231.31700000000001</v>
      </c>
      <c r="M32" s="485">
        <v>230.221</v>
      </c>
      <c r="N32" s="485">
        <v>229.601</v>
      </c>
      <c r="O32" s="485">
        <v>229.59399999999999</v>
      </c>
      <c r="P32" s="485">
        <v>228.85</v>
      </c>
      <c r="Q32" s="485">
        <v>230.33799999999999</v>
      </c>
    </row>
    <row r="33" spans="2:6" x14ac:dyDescent="0.2">
      <c r="B33" s="483">
        <v>2013</v>
      </c>
      <c r="C33" s="485">
        <v>230.28</v>
      </c>
      <c r="D33" s="485">
        <v>232.166</v>
      </c>
      <c r="E33" s="485">
        <v>232.773</v>
      </c>
      <c r="F33" s="485">
        <v>232.53100000000001</v>
      </c>
    </row>
  </sheetData>
  <mergeCells count="1">
    <mergeCell ref="B10:D10"/>
  </mergeCells>
  <pageMargins left="0.7" right="0.7" top="0.75" bottom="0.75" header="0.3" footer="0.3"/>
  <pageSetup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I60"/>
  <sheetViews>
    <sheetView workbookViewId="0">
      <selection activeCell="D1" sqref="A1:D1"/>
    </sheetView>
  </sheetViews>
  <sheetFormatPr defaultRowHeight="15" x14ac:dyDescent="0.25"/>
  <cols>
    <col min="1" max="1" width="3.42578125" style="242" customWidth="1"/>
    <col min="2" max="27" width="2.7109375" style="242" customWidth="1"/>
    <col min="28" max="28" width="16.28515625" style="242" customWidth="1"/>
    <col min="29" max="35" width="2.7109375" style="242" customWidth="1"/>
  </cols>
  <sheetData>
    <row r="1" spans="1:35" x14ac:dyDescent="0.25">
      <c r="A1" s="242" t="s">
        <v>213</v>
      </c>
    </row>
    <row r="3" spans="1:35" x14ac:dyDescent="0.25">
      <c r="A3" s="610" t="s">
        <v>214</v>
      </c>
      <c r="B3" s="610"/>
      <c r="C3" s="610"/>
      <c r="D3" s="610"/>
      <c r="E3" s="610"/>
      <c r="F3" s="610"/>
      <c r="G3" s="610"/>
      <c r="H3" s="610"/>
      <c r="I3" s="610"/>
      <c r="J3" s="610"/>
      <c r="K3" s="610"/>
      <c r="L3" s="610"/>
      <c r="M3" s="610"/>
      <c r="N3" s="611"/>
      <c r="O3" s="612" t="s">
        <v>215</v>
      </c>
      <c r="P3" s="613"/>
      <c r="Q3" s="613"/>
      <c r="R3" s="613"/>
      <c r="S3" s="613"/>
      <c r="T3" s="613"/>
      <c r="U3" s="613"/>
      <c r="V3" s="613"/>
      <c r="W3" s="613"/>
      <c r="X3" s="613"/>
      <c r="Y3" s="613"/>
      <c r="Z3" s="613"/>
      <c r="AA3" s="613"/>
      <c r="AB3" s="614"/>
      <c r="AC3" s="243"/>
      <c r="AD3" s="243"/>
      <c r="AE3" s="243"/>
      <c r="AF3" s="243"/>
      <c r="AG3" s="243"/>
      <c r="AH3" s="244"/>
      <c r="AI3" s="244"/>
    </row>
    <row r="4" spans="1:35" x14ac:dyDescent="0.25">
      <c r="A4" s="610" t="s">
        <v>216</v>
      </c>
      <c r="B4" s="610"/>
      <c r="C4" s="610"/>
      <c r="D4" s="610"/>
      <c r="E4" s="610"/>
      <c r="F4" s="610"/>
      <c r="G4" s="610"/>
      <c r="H4" s="610"/>
      <c r="I4" s="610"/>
      <c r="J4" s="610"/>
      <c r="K4" s="610"/>
      <c r="L4" s="610"/>
      <c r="M4" s="610"/>
      <c r="N4" s="611"/>
      <c r="O4" s="615"/>
      <c r="P4" s="616"/>
      <c r="Q4" s="616"/>
      <c r="R4" s="616"/>
      <c r="S4" s="616"/>
      <c r="T4" s="616"/>
      <c r="U4" s="616"/>
      <c r="V4" s="616"/>
      <c r="W4" s="616"/>
      <c r="X4" s="616"/>
      <c r="Y4" s="616"/>
      <c r="Z4" s="616"/>
      <c r="AA4" s="616"/>
      <c r="AB4" s="617"/>
      <c r="AC4" s="245"/>
      <c r="AD4" s="246"/>
      <c r="AE4" s="246"/>
      <c r="AF4" s="246"/>
      <c r="AG4" s="246"/>
      <c r="AH4" s="246"/>
      <c r="AI4" s="247"/>
    </row>
    <row r="5" spans="1:35" x14ac:dyDescent="0.25">
      <c r="A5" s="610" t="s">
        <v>217</v>
      </c>
      <c r="B5" s="610"/>
      <c r="C5" s="610"/>
      <c r="D5" s="610"/>
      <c r="E5" s="610"/>
      <c r="F5" s="610"/>
      <c r="G5" s="610"/>
      <c r="H5" s="610"/>
      <c r="I5" s="610"/>
      <c r="J5" s="610"/>
      <c r="K5" s="610"/>
      <c r="L5" s="610"/>
      <c r="M5" s="610"/>
      <c r="N5" s="611"/>
      <c r="O5" s="618" t="s">
        <v>218</v>
      </c>
      <c r="P5" s="619"/>
      <c r="Q5" s="619"/>
      <c r="R5" s="619"/>
      <c r="S5" s="619"/>
      <c r="T5" s="619"/>
      <c r="U5" s="619"/>
      <c r="V5" s="619"/>
      <c r="W5" s="619"/>
      <c r="X5" s="619"/>
      <c r="Y5" s="619"/>
      <c r="Z5" s="619"/>
      <c r="AA5" s="619"/>
      <c r="AB5" s="619"/>
      <c r="AC5" s="619"/>
      <c r="AD5" s="619"/>
      <c r="AE5" s="619"/>
      <c r="AF5" s="619"/>
      <c r="AG5" s="619"/>
      <c r="AH5" s="619"/>
      <c r="AI5" s="620"/>
    </row>
    <row r="6" spans="1:35" x14ac:dyDescent="0.25">
      <c r="A6" s="589" t="s">
        <v>219</v>
      </c>
      <c r="B6" s="590"/>
      <c r="C6" s="590"/>
      <c r="D6" s="590"/>
      <c r="E6" s="590"/>
      <c r="F6" s="590"/>
      <c r="G6" s="590"/>
      <c r="H6" s="590"/>
      <c r="I6" s="590"/>
      <c r="J6" s="590"/>
      <c r="K6" s="590"/>
      <c r="L6" s="590"/>
      <c r="M6" s="590"/>
      <c r="N6" s="585"/>
      <c r="O6" s="621"/>
      <c r="P6" s="622"/>
      <c r="Q6" s="622"/>
      <c r="R6" s="622"/>
      <c r="S6" s="622"/>
      <c r="T6" s="622"/>
      <c r="U6" s="622"/>
      <c r="V6" s="622"/>
      <c r="W6" s="622"/>
      <c r="X6" s="622"/>
      <c r="Y6" s="622"/>
      <c r="Z6" s="622"/>
      <c r="AA6" s="622"/>
      <c r="AB6" s="622"/>
      <c r="AC6" s="622"/>
      <c r="AD6" s="622"/>
      <c r="AE6" s="622"/>
      <c r="AF6" s="622"/>
      <c r="AG6" s="622"/>
      <c r="AH6" s="622"/>
      <c r="AI6" s="623"/>
    </row>
    <row r="7" spans="1:35" x14ac:dyDescent="0.25">
      <c r="A7" s="589" t="s">
        <v>220</v>
      </c>
      <c r="B7" s="590"/>
      <c r="C7" s="590"/>
      <c r="D7" s="590"/>
      <c r="E7" s="590"/>
      <c r="F7" s="590"/>
      <c r="G7" s="590"/>
      <c r="H7" s="590"/>
      <c r="I7" s="590"/>
      <c r="J7" s="590"/>
      <c r="K7" s="590"/>
      <c r="L7" s="590"/>
      <c r="M7" s="590"/>
      <c r="N7" s="590"/>
      <c r="O7" s="248" t="s">
        <v>221</v>
      </c>
      <c r="P7" s="249"/>
      <c r="Q7" s="249"/>
      <c r="R7" s="249"/>
      <c r="S7" s="249"/>
      <c r="T7" s="244"/>
      <c r="U7" s="249"/>
      <c r="V7" s="249"/>
      <c r="W7" s="249" t="s">
        <v>222</v>
      </c>
      <c r="X7" s="249"/>
      <c r="Y7" s="249"/>
      <c r="Z7" s="244"/>
      <c r="AA7" s="249"/>
      <c r="AB7" s="249"/>
      <c r="AC7" s="249" t="s">
        <v>223</v>
      </c>
      <c r="AD7" s="249"/>
      <c r="AE7" s="249"/>
      <c r="AF7" s="244"/>
      <c r="AG7" s="249" t="s">
        <v>224</v>
      </c>
      <c r="AH7" s="249"/>
      <c r="AI7" s="244"/>
    </row>
    <row r="8" spans="1:35" x14ac:dyDescent="0.25">
      <c r="A8" s="250"/>
      <c r="O8" s="251"/>
      <c r="P8" s="252"/>
      <c r="Q8" s="252"/>
      <c r="R8" s="252"/>
      <c r="S8" s="252"/>
      <c r="T8" s="252"/>
      <c r="U8" s="591">
        <v>38353</v>
      </c>
      <c r="V8" s="586"/>
      <c r="W8" s="586"/>
      <c r="X8" s="586"/>
      <c r="Y8" s="586"/>
      <c r="Z8" s="253"/>
      <c r="AA8" s="591">
        <v>39514</v>
      </c>
      <c r="AB8" s="586"/>
      <c r="AC8" s="586"/>
      <c r="AD8" s="586"/>
      <c r="AE8" s="586"/>
      <c r="AF8" s="253"/>
      <c r="AG8" s="586">
        <v>3.16</v>
      </c>
      <c r="AH8" s="592"/>
      <c r="AI8" s="593"/>
    </row>
    <row r="9" spans="1:35" x14ac:dyDescent="0.25">
      <c r="O9" s="245"/>
      <c r="P9" s="246"/>
      <c r="Q9" s="246"/>
      <c r="R9" s="246"/>
      <c r="S9" s="246"/>
      <c r="T9" s="246"/>
      <c r="U9" s="246"/>
      <c r="V9" s="246"/>
      <c r="W9" s="246"/>
      <c r="X9" s="246"/>
      <c r="Y9" s="246"/>
      <c r="Z9" s="246"/>
      <c r="AA9" s="246"/>
      <c r="AB9" s="246"/>
      <c r="AC9" s="246"/>
      <c r="AD9" s="246"/>
      <c r="AE9" s="246"/>
      <c r="AF9" s="246"/>
      <c r="AG9" s="246"/>
      <c r="AH9" s="246"/>
      <c r="AI9" s="247"/>
    </row>
    <row r="10" spans="1:35" x14ac:dyDescent="0.25">
      <c r="A10" s="550" t="s">
        <v>225</v>
      </c>
      <c r="B10" s="248" t="s">
        <v>226</v>
      </c>
      <c r="C10" s="249"/>
      <c r="D10" s="249"/>
      <c r="E10" s="249"/>
      <c r="F10" s="249"/>
      <c r="G10" s="249"/>
      <c r="H10" s="249"/>
      <c r="I10" s="249"/>
      <c r="J10" s="249"/>
      <c r="K10" s="249"/>
      <c r="L10" s="249"/>
      <c r="M10" s="249"/>
      <c r="N10" s="249"/>
      <c r="O10" s="249"/>
      <c r="P10" s="244"/>
      <c r="Q10" s="249" t="s">
        <v>227</v>
      </c>
      <c r="R10" s="249"/>
      <c r="S10" s="249"/>
      <c r="T10" s="249"/>
      <c r="U10" s="249"/>
      <c r="V10" s="249"/>
      <c r="W10" s="249"/>
      <c r="X10" s="594" t="s">
        <v>228</v>
      </c>
      <c r="Y10" s="595"/>
      <c r="Z10" s="595"/>
      <c r="AA10" s="595"/>
      <c r="AB10" s="595"/>
      <c r="AC10" s="595"/>
      <c r="AD10" s="595"/>
      <c r="AE10" s="595"/>
      <c r="AF10" s="595"/>
      <c r="AG10" s="595"/>
      <c r="AH10" s="595"/>
      <c r="AI10" s="596"/>
    </row>
    <row r="11" spans="1:35" x14ac:dyDescent="0.25">
      <c r="A11" s="551"/>
      <c r="B11" s="597" t="s">
        <v>229</v>
      </c>
      <c r="C11" s="598"/>
      <c r="D11" s="598"/>
      <c r="E11" s="598"/>
      <c r="F11" s="598"/>
      <c r="G11" s="598"/>
      <c r="H11" s="598"/>
      <c r="I11" s="598"/>
      <c r="J11" s="598"/>
      <c r="K11" s="598"/>
      <c r="L11" s="598"/>
      <c r="M11" s="598"/>
      <c r="N11" s="598"/>
      <c r="O11" s="598"/>
      <c r="P11" s="598"/>
      <c r="Q11" s="601" t="s">
        <v>230</v>
      </c>
      <c r="R11" s="598"/>
      <c r="S11" s="598"/>
      <c r="T11" s="598"/>
      <c r="U11" s="598"/>
      <c r="V11" s="598"/>
      <c r="W11" s="602"/>
      <c r="X11" s="243"/>
      <c r="Y11" s="243"/>
      <c r="Z11" s="243"/>
      <c r="AA11" s="243"/>
      <c r="AB11" s="243"/>
      <c r="AC11" s="243"/>
      <c r="AD11" s="243"/>
      <c r="AE11" s="243"/>
      <c r="AF11" s="243"/>
      <c r="AG11" s="243"/>
      <c r="AH11" s="243"/>
      <c r="AI11" s="254"/>
    </row>
    <row r="12" spans="1:35" x14ac:dyDescent="0.25">
      <c r="A12" s="551"/>
      <c r="B12" s="599"/>
      <c r="C12" s="600"/>
      <c r="D12" s="600"/>
      <c r="E12" s="600"/>
      <c r="F12" s="600"/>
      <c r="G12" s="600"/>
      <c r="H12" s="600"/>
      <c r="I12" s="600"/>
      <c r="J12" s="600"/>
      <c r="K12" s="600"/>
      <c r="L12" s="600"/>
      <c r="M12" s="600"/>
      <c r="N12" s="600"/>
      <c r="O12" s="600"/>
      <c r="P12" s="600"/>
      <c r="Q12" s="600"/>
      <c r="R12" s="600"/>
      <c r="S12" s="600"/>
      <c r="T12" s="600"/>
      <c r="U12" s="600"/>
      <c r="V12" s="600"/>
      <c r="W12" s="603"/>
      <c r="X12" s="245"/>
      <c r="Y12" s="246" t="s">
        <v>231</v>
      </c>
      <c r="Z12" s="246"/>
      <c r="AA12" s="246"/>
      <c r="AB12" s="246"/>
      <c r="AC12" s="246"/>
      <c r="AD12" s="246"/>
      <c r="AE12" s="246"/>
      <c r="AF12" s="246"/>
      <c r="AG12" s="246"/>
      <c r="AH12" s="246"/>
      <c r="AI12" s="247"/>
    </row>
    <row r="13" spans="1:35" x14ac:dyDescent="0.25">
      <c r="A13" s="551"/>
      <c r="B13" s="604" t="s">
        <v>232</v>
      </c>
      <c r="C13" s="605"/>
      <c r="D13" s="605"/>
      <c r="E13" s="605"/>
      <c r="F13" s="605"/>
      <c r="G13" s="606"/>
      <c r="H13" s="252"/>
      <c r="I13" s="252"/>
      <c r="J13" s="252"/>
      <c r="K13" s="252"/>
      <c r="L13" s="252"/>
      <c r="M13" s="252"/>
      <c r="N13" s="252"/>
      <c r="O13" s="252"/>
      <c r="P13" s="254"/>
      <c r="Q13" s="252" t="s">
        <v>227</v>
      </c>
      <c r="R13" s="252"/>
      <c r="S13" s="252"/>
      <c r="T13" s="252"/>
      <c r="U13" s="252"/>
      <c r="V13" s="252"/>
      <c r="W13" s="252"/>
      <c r="X13" s="594" t="s">
        <v>233</v>
      </c>
      <c r="Y13" s="595"/>
      <c r="Z13" s="595"/>
      <c r="AA13" s="595"/>
      <c r="AB13" s="595"/>
      <c r="AC13" s="595"/>
      <c r="AD13" s="595"/>
      <c r="AE13" s="595"/>
      <c r="AF13" s="595"/>
      <c r="AG13" s="595"/>
      <c r="AH13" s="595"/>
      <c r="AI13" s="596"/>
    </row>
    <row r="14" spans="1:35" x14ac:dyDescent="0.25">
      <c r="A14" s="551"/>
      <c r="B14" s="607"/>
      <c r="C14" s="608"/>
      <c r="D14" s="608"/>
      <c r="E14" s="608"/>
      <c r="F14" s="608"/>
      <c r="G14" s="609"/>
      <c r="H14" s="252"/>
      <c r="I14" s="252"/>
      <c r="J14" s="252"/>
      <c r="K14" s="252"/>
      <c r="L14" s="252"/>
      <c r="M14" s="252"/>
      <c r="N14" s="252"/>
      <c r="O14" s="252"/>
      <c r="P14" s="252"/>
      <c r="Q14" s="601"/>
      <c r="R14" s="598"/>
      <c r="S14" s="598"/>
      <c r="T14" s="598"/>
      <c r="U14" s="598"/>
      <c r="V14" s="598"/>
      <c r="W14" s="602"/>
      <c r="X14" s="243"/>
      <c r="Y14" s="243"/>
      <c r="Z14" s="243"/>
      <c r="AA14" s="243"/>
      <c r="AB14" s="243"/>
      <c r="AC14" s="243"/>
      <c r="AD14" s="243"/>
      <c r="AE14" s="243"/>
      <c r="AF14" s="243"/>
      <c r="AG14" s="243"/>
      <c r="AH14" s="243"/>
      <c r="AI14" s="254"/>
    </row>
    <row r="15" spans="1:35" x14ac:dyDescent="0.25">
      <c r="A15" s="552"/>
      <c r="B15" s="245"/>
      <c r="C15" s="246"/>
      <c r="D15" s="246"/>
      <c r="E15" s="246"/>
      <c r="F15" s="246"/>
      <c r="G15" s="246"/>
      <c r="H15" s="246"/>
      <c r="I15" s="246"/>
      <c r="J15" s="246"/>
      <c r="K15" s="246"/>
      <c r="L15" s="246"/>
      <c r="M15" s="246"/>
      <c r="N15" s="246"/>
      <c r="O15" s="246"/>
      <c r="P15" s="246"/>
      <c r="Q15" s="600"/>
      <c r="R15" s="600"/>
      <c r="S15" s="600"/>
      <c r="T15" s="600"/>
      <c r="U15" s="600"/>
      <c r="V15" s="600"/>
      <c r="W15" s="603"/>
      <c r="X15" s="245"/>
      <c r="Y15" s="246" t="s">
        <v>234</v>
      </c>
      <c r="Z15" s="246"/>
      <c r="AA15" s="246"/>
      <c r="AB15" s="246"/>
      <c r="AC15" s="246"/>
      <c r="AD15" s="246"/>
      <c r="AE15" s="246"/>
      <c r="AF15" s="246"/>
      <c r="AG15" s="246"/>
      <c r="AH15" s="246"/>
      <c r="AI15" s="247"/>
    </row>
    <row r="16" spans="1:35" x14ac:dyDescent="0.25">
      <c r="A16" s="550" t="s">
        <v>235</v>
      </c>
      <c r="B16" s="248" t="s">
        <v>236</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4"/>
    </row>
    <row r="17" spans="1:35" x14ac:dyDescent="0.25">
      <c r="A17" s="551"/>
      <c r="B17" s="251"/>
      <c r="C17" s="577" t="s">
        <v>237</v>
      </c>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254"/>
    </row>
    <row r="18" spans="1:35" x14ac:dyDescent="0.25">
      <c r="A18" s="551"/>
      <c r="B18" s="251"/>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54"/>
    </row>
    <row r="19" spans="1:35" x14ac:dyDescent="0.25">
      <c r="A19" s="551"/>
      <c r="B19" s="251"/>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254"/>
    </row>
    <row r="20" spans="1:35" x14ac:dyDescent="0.25">
      <c r="A20" s="551"/>
      <c r="B20" s="251"/>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254"/>
    </row>
    <row r="21" spans="1:35" x14ac:dyDescent="0.25">
      <c r="A21" s="551"/>
      <c r="B21" s="251"/>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254"/>
    </row>
    <row r="22" spans="1:35" x14ac:dyDescent="0.25">
      <c r="A22" s="551"/>
      <c r="B22" s="251" t="s">
        <v>238</v>
      </c>
      <c r="C22" s="252"/>
      <c r="D22" s="252"/>
      <c r="E22" s="252"/>
      <c r="F22" s="586">
        <v>6840</v>
      </c>
      <c r="G22" s="586"/>
      <c r="H22" s="586"/>
      <c r="I22" s="586"/>
      <c r="J22" s="252"/>
      <c r="K22" s="252" t="s">
        <v>239</v>
      </c>
      <c r="L22" s="252"/>
      <c r="M22" s="252"/>
      <c r="N22" s="252"/>
      <c r="O22" s="586">
        <v>6840</v>
      </c>
      <c r="P22" s="586"/>
      <c r="Q22" s="586"/>
      <c r="R22" s="586"/>
      <c r="S22" s="252"/>
      <c r="T22" s="252" t="s">
        <v>240</v>
      </c>
      <c r="U22" s="252"/>
      <c r="V22" s="252"/>
      <c r="W22" s="252"/>
      <c r="X22" s="252"/>
      <c r="Y22" s="252"/>
      <c r="Z22" s="252"/>
      <c r="AA22" s="252"/>
      <c r="AB22" s="252"/>
      <c r="AC22" s="586">
        <f>(F22+O22)/2/F22</f>
        <v>1</v>
      </c>
      <c r="AD22" s="586"/>
      <c r="AE22" s="586"/>
      <c r="AF22" s="586"/>
      <c r="AG22" s="252"/>
      <c r="AH22" s="252"/>
      <c r="AI22" s="254"/>
    </row>
    <row r="23" spans="1:35" x14ac:dyDescent="0.25">
      <c r="A23" s="552"/>
      <c r="B23" s="245" t="s">
        <v>241</v>
      </c>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7"/>
    </row>
    <row r="24" spans="1:35" x14ac:dyDescent="0.25">
      <c r="A24" s="550" t="s">
        <v>242</v>
      </c>
      <c r="B24" s="248"/>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4"/>
    </row>
    <row r="25" spans="1:35" x14ac:dyDescent="0.25">
      <c r="A25" s="551"/>
      <c r="B25" s="583" t="s">
        <v>243</v>
      </c>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584"/>
      <c r="AH25" s="584"/>
      <c r="AI25" s="585"/>
    </row>
    <row r="26" spans="1:35" x14ac:dyDescent="0.25">
      <c r="A26" s="551"/>
      <c r="B26" s="583" t="s">
        <v>244</v>
      </c>
      <c r="C26" s="584"/>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5"/>
    </row>
    <row r="27" spans="1:35" x14ac:dyDescent="0.25">
      <c r="A27" s="551"/>
      <c r="B27" s="25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4"/>
    </row>
    <row r="28" spans="1:35" x14ac:dyDescent="0.25">
      <c r="A28" s="551"/>
      <c r="B28" s="252"/>
      <c r="C28" s="252"/>
      <c r="D28" s="252" t="s">
        <v>245</v>
      </c>
      <c r="E28" s="252"/>
      <c r="F28" s="252"/>
      <c r="G28" s="252"/>
      <c r="H28" s="252"/>
      <c r="I28" s="252"/>
      <c r="J28" s="252"/>
      <c r="K28" s="252"/>
      <c r="L28" s="252"/>
      <c r="M28" s="252"/>
      <c r="N28" s="252"/>
      <c r="O28" s="252"/>
      <c r="P28" s="252"/>
      <c r="Q28" s="252"/>
      <c r="R28" s="252"/>
      <c r="S28" s="252"/>
      <c r="T28" s="252"/>
      <c r="U28" s="252" t="s">
        <v>246</v>
      </c>
      <c r="V28" s="252"/>
      <c r="W28" s="252"/>
      <c r="X28" s="252"/>
      <c r="Y28" s="252"/>
      <c r="Z28" s="252"/>
      <c r="AA28" s="252"/>
      <c r="AB28" s="252"/>
      <c r="AC28" s="252"/>
      <c r="AD28" s="252"/>
      <c r="AE28" s="252"/>
      <c r="AF28" s="252"/>
      <c r="AG28" s="252"/>
      <c r="AH28" s="252"/>
      <c r="AI28" s="254"/>
    </row>
    <row r="29" spans="1:35" x14ac:dyDescent="0.25">
      <c r="A29" s="551"/>
      <c r="B29" s="251"/>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4"/>
    </row>
    <row r="30" spans="1:35" x14ac:dyDescent="0.25">
      <c r="A30" s="551"/>
      <c r="B30" s="252"/>
      <c r="C30" s="252"/>
      <c r="D30" s="252"/>
      <c r="E30" s="252" t="s">
        <v>247</v>
      </c>
      <c r="F30" s="252"/>
      <c r="G30" s="252"/>
      <c r="H30" s="252"/>
      <c r="I30" s="252"/>
      <c r="J30" s="252"/>
      <c r="K30" s="252"/>
      <c r="L30" s="586">
        <v>40</v>
      </c>
      <c r="M30" s="586"/>
      <c r="N30" s="586"/>
      <c r="O30" s="586"/>
      <c r="P30" s="252"/>
      <c r="Q30" s="252"/>
      <c r="R30" s="252"/>
      <c r="S30" s="252"/>
      <c r="T30" s="252"/>
      <c r="U30" s="252"/>
      <c r="V30" s="252" t="s">
        <v>248</v>
      </c>
      <c r="W30" s="252"/>
      <c r="X30" s="252"/>
      <c r="Y30" s="252"/>
      <c r="Z30" s="252"/>
      <c r="AA30" s="252"/>
      <c r="AB30" s="252"/>
      <c r="AC30" s="586"/>
      <c r="AD30" s="586"/>
      <c r="AE30" s="586"/>
      <c r="AF30" s="586"/>
      <c r="AG30" s="252"/>
      <c r="AH30" s="252"/>
      <c r="AI30" s="254"/>
    </row>
    <row r="31" spans="1:35" x14ac:dyDescent="0.25">
      <c r="A31" s="551"/>
      <c r="B31" s="252"/>
      <c r="C31" s="252"/>
      <c r="D31" s="252"/>
      <c r="E31" s="252" t="s">
        <v>249</v>
      </c>
      <c r="F31" s="252"/>
      <c r="G31" s="252"/>
      <c r="H31" s="252"/>
      <c r="I31" s="252"/>
      <c r="J31" s="252"/>
      <c r="K31" s="252"/>
      <c r="L31" s="587">
        <v>0</v>
      </c>
      <c r="M31" s="587"/>
      <c r="N31" s="587"/>
      <c r="O31" s="587"/>
      <c r="P31" s="252" t="s">
        <v>250</v>
      </c>
      <c r="Q31" s="252"/>
      <c r="R31" s="252"/>
      <c r="S31" s="252"/>
      <c r="T31" s="252"/>
      <c r="U31" s="252"/>
      <c r="V31" s="252" t="s">
        <v>251</v>
      </c>
      <c r="W31" s="252"/>
      <c r="X31" s="252"/>
      <c r="Y31" s="252"/>
      <c r="Z31" s="252"/>
      <c r="AA31" s="252"/>
      <c r="AB31" s="252"/>
      <c r="AC31" s="587"/>
      <c r="AD31" s="587"/>
      <c r="AE31" s="587"/>
      <c r="AF31" s="587"/>
      <c r="AG31" s="252"/>
      <c r="AH31" s="252"/>
      <c r="AI31" s="254"/>
    </row>
    <row r="32" spans="1:35" x14ac:dyDescent="0.25">
      <c r="A32" s="551"/>
      <c r="B32" s="252"/>
      <c r="C32" s="252"/>
      <c r="D32" s="252"/>
      <c r="E32" s="252" t="s">
        <v>252</v>
      </c>
      <c r="F32" s="252"/>
      <c r="G32" s="252"/>
      <c r="H32" s="252"/>
      <c r="I32" s="252"/>
      <c r="J32" s="252"/>
      <c r="K32" s="252"/>
      <c r="L32" s="588">
        <f>L31/L30</f>
        <v>0</v>
      </c>
      <c r="M32" s="588"/>
      <c r="N32" s="588"/>
      <c r="O32" s="588"/>
      <c r="P32" s="252" t="s">
        <v>241</v>
      </c>
      <c r="Q32" s="252"/>
      <c r="R32" s="252"/>
      <c r="S32" s="252"/>
      <c r="T32" s="252"/>
      <c r="U32" s="252"/>
      <c r="V32" s="252" t="s">
        <v>253</v>
      </c>
      <c r="W32" s="252"/>
      <c r="X32" s="252"/>
      <c r="Y32" s="252"/>
      <c r="Z32" s="252"/>
      <c r="AA32" s="252"/>
      <c r="AB32" s="252"/>
      <c r="AC32" s="587">
        <f>AC30-AC31</f>
        <v>0</v>
      </c>
      <c r="AD32" s="587"/>
      <c r="AE32" s="587"/>
      <c r="AF32" s="587"/>
      <c r="AG32" s="252"/>
      <c r="AH32" s="252"/>
      <c r="AI32" s="254"/>
    </row>
    <row r="33" spans="1:35" x14ac:dyDescent="0.25">
      <c r="A33" s="551"/>
      <c r="B33" s="251"/>
      <c r="C33" s="252"/>
      <c r="D33" s="252"/>
      <c r="E33" s="252"/>
      <c r="F33" s="252"/>
      <c r="G33" s="252"/>
      <c r="H33" s="252"/>
      <c r="I33" s="252"/>
      <c r="J33" s="252"/>
      <c r="K33" s="252"/>
      <c r="L33" s="252"/>
      <c r="M33" s="252"/>
      <c r="N33" s="252"/>
      <c r="O33" s="252"/>
      <c r="P33" s="252"/>
      <c r="Q33" s="252"/>
      <c r="R33" s="252"/>
      <c r="S33" s="252"/>
      <c r="T33" s="252"/>
      <c r="U33" s="252"/>
      <c r="V33" s="252" t="s">
        <v>254</v>
      </c>
      <c r="W33" s="252"/>
      <c r="X33" s="252"/>
      <c r="Y33" s="252"/>
      <c r="Z33" s="252"/>
      <c r="AA33" s="252"/>
      <c r="AB33" s="252"/>
      <c r="AC33" s="587" t="e">
        <f>AC32/AC30</f>
        <v>#DIV/0!</v>
      </c>
      <c r="AD33" s="587"/>
      <c r="AE33" s="587"/>
      <c r="AF33" s="587"/>
      <c r="AG33" s="252" t="s">
        <v>255</v>
      </c>
      <c r="AH33" s="252"/>
      <c r="AI33" s="254"/>
    </row>
    <row r="34" spans="1:35" x14ac:dyDescent="0.25">
      <c r="A34" s="551"/>
      <c r="B34" s="245"/>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7"/>
    </row>
    <row r="35" spans="1:35" x14ac:dyDescent="0.25">
      <c r="A35" s="582"/>
      <c r="B35" s="251" t="s">
        <v>256</v>
      </c>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4"/>
    </row>
    <row r="36" spans="1:35" x14ac:dyDescent="0.25">
      <c r="A36" s="582"/>
      <c r="B36" s="251"/>
      <c r="C36" s="577" t="s">
        <v>257</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254"/>
    </row>
    <row r="37" spans="1:35" x14ac:dyDescent="0.25">
      <c r="A37" s="582"/>
      <c r="B37" s="251"/>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254"/>
    </row>
    <row r="38" spans="1:35" x14ac:dyDescent="0.25">
      <c r="A38" s="582"/>
      <c r="B38" s="251"/>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254"/>
    </row>
    <row r="39" spans="1:35" x14ac:dyDescent="0.25">
      <c r="A39" s="582"/>
      <c r="B39" s="251"/>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254"/>
    </row>
    <row r="40" spans="1:35" x14ac:dyDescent="0.25">
      <c r="A40" s="582"/>
      <c r="B40" s="251"/>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254"/>
    </row>
    <row r="41" spans="1:35" x14ac:dyDescent="0.25">
      <c r="A41" s="582"/>
      <c r="B41" s="245"/>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7"/>
    </row>
    <row r="42" spans="1:35" x14ac:dyDescent="0.25">
      <c r="A42" s="248"/>
      <c r="B42" s="578" t="s">
        <v>258</v>
      </c>
      <c r="C42" s="579"/>
      <c r="D42" s="579"/>
      <c r="E42" s="579"/>
      <c r="F42" s="579"/>
      <c r="G42" s="579"/>
      <c r="H42" s="579"/>
      <c r="I42" s="579"/>
      <c r="J42" s="579"/>
      <c r="K42" s="579"/>
      <c r="L42" s="579"/>
      <c r="M42" s="579"/>
      <c r="N42" s="579"/>
      <c r="O42" s="579"/>
      <c r="P42" s="579"/>
      <c r="Q42" s="579"/>
      <c r="R42" s="249"/>
      <c r="S42" s="578" t="s">
        <v>259</v>
      </c>
      <c r="T42" s="579"/>
      <c r="U42" s="579"/>
      <c r="V42" s="579"/>
      <c r="W42" s="579"/>
      <c r="X42" s="579"/>
      <c r="Y42" s="579"/>
      <c r="Z42" s="579"/>
      <c r="AA42" s="579"/>
      <c r="AB42" s="579"/>
      <c r="AC42" s="579"/>
      <c r="AD42" s="579"/>
      <c r="AE42" s="579"/>
      <c r="AF42" s="579"/>
      <c r="AG42" s="579"/>
      <c r="AH42" s="579"/>
      <c r="AI42" s="244"/>
    </row>
    <row r="43" spans="1:35" x14ac:dyDescent="0.25">
      <c r="A43" s="251"/>
      <c r="B43" s="255"/>
      <c r="C43" s="256" t="s">
        <v>260</v>
      </c>
      <c r="D43" s="257"/>
      <c r="E43" s="580" t="s">
        <v>261</v>
      </c>
      <c r="F43" s="580"/>
      <c r="G43" s="580"/>
      <c r="H43" s="257"/>
      <c r="I43" s="580" t="s">
        <v>262</v>
      </c>
      <c r="J43" s="580"/>
      <c r="K43" s="580"/>
      <c r="L43" s="580"/>
      <c r="M43" s="257"/>
      <c r="N43" s="580" t="s">
        <v>263</v>
      </c>
      <c r="O43" s="580"/>
      <c r="P43" s="580"/>
      <c r="Q43" s="581"/>
      <c r="R43" s="252"/>
      <c r="S43" s="255"/>
      <c r="T43" s="256" t="s">
        <v>260</v>
      </c>
      <c r="U43" s="257"/>
      <c r="V43" s="580" t="s">
        <v>261</v>
      </c>
      <c r="W43" s="580"/>
      <c r="X43" s="580"/>
      <c r="Y43" s="257"/>
      <c r="Z43" s="580" t="s">
        <v>262</v>
      </c>
      <c r="AA43" s="580"/>
      <c r="AB43" s="580"/>
      <c r="AC43" s="580"/>
      <c r="AD43" s="257"/>
      <c r="AE43" s="580" t="s">
        <v>263</v>
      </c>
      <c r="AF43" s="580"/>
      <c r="AG43" s="580"/>
      <c r="AH43" s="581"/>
      <c r="AI43" s="254"/>
    </row>
    <row r="44" spans="1:35" x14ac:dyDescent="0.25">
      <c r="A44" s="251"/>
      <c r="B44" s="258" t="s">
        <v>264</v>
      </c>
      <c r="C44" s="259"/>
      <c r="D44" s="259"/>
      <c r="E44" s="571">
        <v>0</v>
      </c>
      <c r="F44" s="571"/>
      <c r="G44" s="571"/>
      <c r="H44" s="260" t="s">
        <v>265</v>
      </c>
      <c r="I44" s="572">
        <f>'Safety Assumptions'!D12</f>
        <v>9196740.7697155401</v>
      </c>
      <c r="J44" s="572"/>
      <c r="K44" s="572"/>
      <c r="L44" s="572"/>
      <c r="M44" s="261" t="s">
        <v>266</v>
      </c>
      <c r="N44" s="572">
        <f>E44*I44</f>
        <v>0</v>
      </c>
      <c r="O44" s="573"/>
      <c r="P44" s="573"/>
      <c r="Q44" s="574"/>
      <c r="R44" s="252"/>
      <c r="S44" s="258" t="s">
        <v>264</v>
      </c>
      <c r="T44" s="259"/>
      <c r="U44" s="259"/>
      <c r="V44" s="571">
        <v>0</v>
      </c>
      <c r="W44" s="571"/>
      <c r="X44" s="571"/>
      <c r="Y44" s="260" t="s">
        <v>265</v>
      </c>
      <c r="Z44" s="572">
        <f>'Safety Assumptions'!D12</f>
        <v>9196740.7697155401</v>
      </c>
      <c r="AA44" s="572"/>
      <c r="AB44" s="572"/>
      <c r="AC44" s="572"/>
      <c r="AD44" s="261" t="s">
        <v>266</v>
      </c>
      <c r="AE44" s="572">
        <f>V44*Z44</f>
        <v>0</v>
      </c>
      <c r="AF44" s="573"/>
      <c r="AG44" s="573"/>
      <c r="AH44" s="574"/>
      <c r="AI44" s="254"/>
    </row>
    <row r="45" spans="1:35" x14ac:dyDescent="0.25">
      <c r="A45" s="251"/>
      <c r="B45" s="262" t="s">
        <v>267</v>
      </c>
      <c r="C45" s="263"/>
      <c r="D45" s="263"/>
      <c r="E45" s="570">
        <v>13</v>
      </c>
      <c r="F45" s="571"/>
      <c r="G45" s="571"/>
      <c r="H45" s="264" t="s">
        <v>265</v>
      </c>
      <c r="I45" s="572">
        <f>'Safety Assumptions'!C28</f>
        <v>166472.04402077492</v>
      </c>
      <c r="J45" s="572"/>
      <c r="K45" s="572"/>
      <c r="L45" s="572"/>
      <c r="M45" s="265" t="s">
        <v>266</v>
      </c>
      <c r="N45" s="572">
        <f>E45*I45</f>
        <v>2164136.5722700739</v>
      </c>
      <c r="O45" s="573"/>
      <c r="P45" s="573"/>
      <c r="Q45" s="574"/>
      <c r="R45" s="252"/>
      <c r="S45" s="262" t="s">
        <v>267</v>
      </c>
      <c r="T45" s="263"/>
      <c r="U45" s="263"/>
      <c r="V45" s="570">
        <v>4</v>
      </c>
      <c r="W45" s="571"/>
      <c r="X45" s="571"/>
      <c r="Y45" s="264" t="s">
        <v>265</v>
      </c>
      <c r="Z45" s="572">
        <f>'Safety Assumptions'!C28</f>
        <v>166472.04402077492</v>
      </c>
      <c r="AA45" s="572"/>
      <c r="AB45" s="572"/>
      <c r="AC45" s="572"/>
      <c r="AD45" s="265" t="s">
        <v>266</v>
      </c>
      <c r="AE45" s="572">
        <f>V45*Z45</f>
        <v>665888.17608309968</v>
      </c>
      <c r="AF45" s="573"/>
      <c r="AG45" s="573"/>
      <c r="AH45" s="574"/>
      <c r="AI45" s="254"/>
    </row>
    <row r="46" spans="1:35" ht="15.75" thickBot="1" x14ac:dyDescent="0.3">
      <c r="A46" s="251"/>
      <c r="B46" s="262" t="s">
        <v>268</v>
      </c>
      <c r="C46" s="263"/>
      <c r="D46" s="263"/>
      <c r="E46" s="575">
        <v>27</v>
      </c>
      <c r="F46" s="576"/>
      <c r="G46" s="576"/>
      <c r="H46" s="264" t="s">
        <v>265</v>
      </c>
      <c r="I46" s="568">
        <f>'Safety Assumptions'!D17</f>
        <v>3419.5578439422229</v>
      </c>
      <c r="J46" s="568"/>
      <c r="K46" s="568"/>
      <c r="L46" s="568"/>
      <c r="M46" s="265" t="s">
        <v>266</v>
      </c>
      <c r="N46" s="568">
        <f>E46*I46</f>
        <v>92328.061786440012</v>
      </c>
      <c r="O46" s="568"/>
      <c r="P46" s="568"/>
      <c r="Q46" s="569"/>
      <c r="R46" s="252"/>
      <c r="S46" s="262" t="s">
        <v>268</v>
      </c>
      <c r="T46" s="263"/>
      <c r="U46" s="263"/>
      <c r="V46" s="575">
        <v>36</v>
      </c>
      <c r="W46" s="576"/>
      <c r="X46" s="576"/>
      <c r="Y46" s="264" t="s">
        <v>265</v>
      </c>
      <c r="Z46" s="568">
        <f>'Safety Assumptions'!D17</f>
        <v>3419.5578439422229</v>
      </c>
      <c r="AA46" s="568"/>
      <c r="AB46" s="568"/>
      <c r="AC46" s="568"/>
      <c r="AD46" s="265" t="s">
        <v>266</v>
      </c>
      <c r="AE46" s="568">
        <f>V46*Z46</f>
        <v>123104.08238192003</v>
      </c>
      <c r="AF46" s="568"/>
      <c r="AG46" s="568"/>
      <c r="AH46" s="569"/>
      <c r="AI46" s="254"/>
    </row>
    <row r="47" spans="1:35" ht="15.75" thickTop="1" x14ac:dyDescent="0.25">
      <c r="A47" s="251"/>
      <c r="B47" s="266" t="s">
        <v>6</v>
      </c>
      <c r="C47" s="267"/>
      <c r="D47" s="267"/>
      <c r="E47" s="562">
        <f>SUM(E44:G46)</f>
        <v>40</v>
      </c>
      <c r="F47" s="562"/>
      <c r="G47" s="562"/>
      <c r="H47" s="267"/>
      <c r="I47" s="267"/>
      <c r="J47" s="267"/>
      <c r="K47" s="267"/>
      <c r="L47" s="267"/>
      <c r="M47" s="268" t="s">
        <v>269</v>
      </c>
      <c r="N47" s="563">
        <f>SUM(N44:Q46)</f>
        <v>2256464.6340565141</v>
      </c>
      <c r="O47" s="564"/>
      <c r="P47" s="564"/>
      <c r="Q47" s="565"/>
      <c r="R47" s="252"/>
      <c r="S47" s="266" t="s">
        <v>6</v>
      </c>
      <c r="T47" s="267"/>
      <c r="U47" s="267"/>
      <c r="V47" s="562">
        <f>SUM(V44:X46)</f>
        <v>40</v>
      </c>
      <c r="W47" s="562"/>
      <c r="X47" s="562"/>
      <c r="Y47" s="267"/>
      <c r="Z47" s="267"/>
      <c r="AA47" s="267"/>
      <c r="AB47" s="267"/>
      <c r="AC47" s="267"/>
      <c r="AD47" s="268" t="s">
        <v>269</v>
      </c>
      <c r="AE47" s="563">
        <f>SUM(AE44:AH46)</f>
        <v>788992.25846501975</v>
      </c>
      <c r="AF47" s="564"/>
      <c r="AG47" s="564"/>
      <c r="AH47" s="565"/>
      <c r="AI47" s="254"/>
    </row>
    <row r="48" spans="1:35" x14ac:dyDescent="0.25">
      <c r="A48" s="251"/>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4"/>
    </row>
    <row r="49" spans="1:35" x14ac:dyDescent="0.25">
      <c r="A49" s="251"/>
      <c r="B49" s="252" t="s">
        <v>270</v>
      </c>
      <c r="C49" s="252"/>
      <c r="D49" s="252"/>
      <c r="E49" s="252"/>
      <c r="F49" s="252"/>
      <c r="G49" s="252"/>
      <c r="H49" s="252"/>
      <c r="I49" s="252"/>
      <c r="J49" s="252"/>
      <c r="K49" s="252"/>
      <c r="L49" s="252"/>
      <c r="M49" s="252"/>
      <c r="N49" s="566">
        <f>N47/E47</f>
        <v>56411.615851412855</v>
      </c>
      <c r="O49" s="567"/>
      <c r="P49" s="567"/>
      <c r="Q49" s="567"/>
      <c r="R49" s="252"/>
      <c r="S49" s="252" t="s">
        <v>270</v>
      </c>
      <c r="T49" s="252"/>
      <c r="U49" s="252"/>
      <c r="V49" s="252"/>
      <c r="W49" s="252"/>
      <c r="X49" s="252"/>
      <c r="Y49" s="252"/>
      <c r="Z49" s="252"/>
      <c r="AA49" s="252"/>
      <c r="AB49" s="252"/>
      <c r="AC49" s="252"/>
      <c r="AD49" s="252"/>
      <c r="AE49" s="566">
        <f>AE47/V47</f>
        <v>19724.806461625492</v>
      </c>
      <c r="AF49" s="567"/>
      <c r="AG49" s="567"/>
      <c r="AH49" s="567"/>
      <c r="AI49" s="269"/>
    </row>
    <row r="50" spans="1:35" x14ac:dyDescent="0.25">
      <c r="A50" s="245"/>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7"/>
    </row>
    <row r="51" spans="1:35" x14ac:dyDescent="0.25">
      <c r="A51" s="550" t="s">
        <v>219</v>
      </c>
      <c r="B51" s="248"/>
      <c r="C51" s="249" t="s">
        <v>271</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4"/>
    </row>
    <row r="52" spans="1:35" x14ac:dyDescent="0.25">
      <c r="A52" s="551"/>
      <c r="B52" s="251"/>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4"/>
    </row>
    <row r="53" spans="1:35" x14ac:dyDescent="0.25">
      <c r="A53" s="551"/>
      <c r="B53" s="270"/>
      <c r="C53" s="271"/>
      <c r="D53" s="271" t="s">
        <v>272</v>
      </c>
      <c r="E53" s="271"/>
      <c r="F53" s="271"/>
      <c r="G53" s="553">
        <f>L30/AG8</f>
        <v>12.658227848101266</v>
      </c>
      <c r="H53" s="553"/>
      <c r="I53" s="272" t="s">
        <v>273</v>
      </c>
      <c r="J53" s="271" t="s">
        <v>274</v>
      </c>
      <c r="K53" s="273"/>
      <c r="L53" s="554">
        <f>AC22</f>
        <v>1</v>
      </c>
      <c r="M53" s="554"/>
      <c r="N53" s="272" t="s">
        <v>273</v>
      </c>
      <c r="O53" s="271" t="s">
        <v>275</v>
      </c>
      <c r="P53" s="271"/>
      <c r="Q53" s="271"/>
      <c r="R53" s="271"/>
      <c r="S53" s="271"/>
      <c r="T53" s="271"/>
      <c r="U53" s="271"/>
      <c r="V53" s="271"/>
      <c r="W53" s="555">
        <f>N49</f>
        <v>56411.615851412855</v>
      </c>
      <c r="X53" s="556"/>
      <c r="Y53" s="556"/>
      <c r="Z53" s="556"/>
      <c r="AA53" s="556"/>
      <c r="AB53" s="271"/>
      <c r="AC53" s="274" t="s">
        <v>266</v>
      </c>
      <c r="AD53" s="557">
        <f>G53*L53*W53</f>
        <v>714071.08672674501</v>
      </c>
      <c r="AE53" s="558"/>
      <c r="AF53" s="558"/>
      <c r="AG53" s="558"/>
      <c r="AH53" s="558"/>
      <c r="AI53" s="275"/>
    </row>
    <row r="54" spans="1:35" x14ac:dyDescent="0.25">
      <c r="A54" s="551"/>
      <c r="B54" s="251"/>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4"/>
    </row>
    <row r="55" spans="1:35" x14ac:dyDescent="0.25">
      <c r="A55" s="551"/>
      <c r="B55" s="251"/>
      <c r="C55" s="252" t="s">
        <v>276</v>
      </c>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4"/>
    </row>
    <row r="56" spans="1:35" x14ac:dyDescent="0.25">
      <c r="A56" s="551"/>
      <c r="B56" s="251"/>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4"/>
    </row>
    <row r="57" spans="1:35" x14ac:dyDescent="0.25">
      <c r="A57" s="551"/>
      <c r="B57" s="270"/>
      <c r="C57" s="271"/>
      <c r="D57" s="271" t="s">
        <v>272</v>
      </c>
      <c r="E57" s="271"/>
      <c r="F57" s="271"/>
      <c r="G57" s="553">
        <f>L30/AG8</f>
        <v>12.658227848101266</v>
      </c>
      <c r="H57" s="553"/>
      <c r="I57" s="272" t="s">
        <v>273</v>
      </c>
      <c r="J57" s="271" t="s">
        <v>274</v>
      </c>
      <c r="K57" s="273"/>
      <c r="L57" s="554">
        <f>AC22</f>
        <v>1</v>
      </c>
      <c r="M57" s="554"/>
      <c r="N57" s="272" t="s">
        <v>273</v>
      </c>
      <c r="O57" s="276"/>
      <c r="P57" s="277" t="s">
        <v>277</v>
      </c>
      <c r="Q57" s="278">
        <f>L32</f>
        <v>0</v>
      </c>
      <c r="R57" s="279" t="s">
        <v>278</v>
      </c>
      <c r="S57" s="272" t="s">
        <v>273</v>
      </c>
      <c r="T57" s="271" t="s">
        <v>279</v>
      </c>
      <c r="U57" s="271"/>
      <c r="V57" s="271"/>
      <c r="W57" s="271"/>
      <c r="X57" s="271"/>
      <c r="Y57" s="559">
        <f>AE49</f>
        <v>19724.806461625492</v>
      </c>
      <c r="Z57" s="559"/>
      <c r="AA57" s="559"/>
      <c r="AB57" s="271"/>
      <c r="AC57" s="274" t="s">
        <v>266</v>
      </c>
      <c r="AD57" s="560">
        <f>G57*L57*(1-Q57)*Y57</f>
        <v>249681.0944509556</v>
      </c>
      <c r="AE57" s="561"/>
      <c r="AF57" s="561"/>
      <c r="AG57" s="561"/>
      <c r="AH57" s="561"/>
      <c r="AI57" s="275"/>
    </row>
    <row r="58" spans="1:35" x14ac:dyDescent="0.25">
      <c r="A58" s="551"/>
      <c r="B58" s="251"/>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t="s">
        <v>241</v>
      </c>
      <c r="AD58" s="252"/>
      <c r="AE58" s="252"/>
      <c r="AF58" s="252"/>
      <c r="AG58" s="252"/>
      <c r="AH58" s="252"/>
      <c r="AI58" s="254"/>
    </row>
    <row r="59" spans="1:35" x14ac:dyDescent="0.25">
      <c r="A59" s="551"/>
      <c r="B59" s="252"/>
      <c r="C59" s="252"/>
      <c r="D59" s="252"/>
      <c r="E59" s="252"/>
      <c r="F59" s="252"/>
      <c r="G59" s="252"/>
      <c r="H59" s="252"/>
      <c r="I59" s="252"/>
      <c r="J59" s="252"/>
      <c r="K59" s="252"/>
      <c r="L59" s="252"/>
      <c r="M59" s="252"/>
      <c r="N59" s="252"/>
      <c r="O59" s="280" t="s">
        <v>280</v>
      </c>
      <c r="P59" s="252"/>
      <c r="Q59" s="252"/>
      <c r="R59" s="252"/>
      <c r="S59" s="252"/>
      <c r="T59" s="252"/>
      <c r="U59" s="252"/>
      <c r="V59" s="252"/>
      <c r="W59" s="252"/>
      <c r="X59" s="252"/>
      <c r="Y59" s="252"/>
      <c r="Z59" s="252"/>
      <c r="AA59" s="253"/>
      <c r="AB59" s="281">
        <f>AD53-AD57</f>
        <v>464389.99227578938</v>
      </c>
      <c r="AC59" s="282"/>
      <c r="AD59" s="282"/>
      <c r="AE59" s="282"/>
      <c r="AF59" s="282"/>
      <c r="AG59" s="283"/>
      <c r="AH59" s="252"/>
      <c r="AI59" s="254"/>
    </row>
    <row r="60" spans="1:35" x14ac:dyDescent="0.25">
      <c r="A60" s="552"/>
      <c r="B60" s="245"/>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7"/>
    </row>
  </sheetData>
  <mergeCells count="74">
    <mergeCell ref="A3:N3"/>
    <mergeCell ref="O3:AB4"/>
    <mergeCell ref="A4:N4"/>
    <mergeCell ref="A5:N5"/>
    <mergeCell ref="O5:AI6"/>
    <mergeCell ref="A6:N6"/>
    <mergeCell ref="A7:N7"/>
    <mergeCell ref="U8:Y8"/>
    <mergeCell ref="AA8:AE8"/>
    <mergeCell ref="AG8:AI8"/>
    <mergeCell ref="A10:A15"/>
    <mergeCell ref="X10:AI10"/>
    <mergeCell ref="B11:P12"/>
    <mergeCell ref="Q11:W12"/>
    <mergeCell ref="B13:G14"/>
    <mergeCell ref="X13:AI13"/>
    <mergeCell ref="Q14:W15"/>
    <mergeCell ref="A16:A23"/>
    <mergeCell ref="C17:AH21"/>
    <mergeCell ref="F22:I22"/>
    <mergeCell ref="O22:R22"/>
    <mergeCell ref="AC22:AF22"/>
    <mergeCell ref="A24:A41"/>
    <mergeCell ref="B25:AI25"/>
    <mergeCell ref="B26:AI26"/>
    <mergeCell ref="L30:O30"/>
    <mergeCell ref="AC30:AF30"/>
    <mergeCell ref="L31:O31"/>
    <mergeCell ref="AC31:AF31"/>
    <mergeCell ref="L32:O32"/>
    <mergeCell ref="AC32:AF32"/>
    <mergeCell ref="AC33:AF33"/>
    <mergeCell ref="AE44:AH44"/>
    <mergeCell ref="C36:AH40"/>
    <mergeCell ref="B42:Q42"/>
    <mergeCell ref="S42:AH42"/>
    <mergeCell ref="E43:G43"/>
    <mergeCell ref="I43:L43"/>
    <mergeCell ref="N43:Q43"/>
    <mergeCell ref="V43:X43"/>
    <mergeCell ref="Z43:AC43"/>
    <mergeCell ref="AE43:AH43"/>
    <mergeCell ref="E44:G44"/>
    <mergeCell ref="I44:L44"/>
    <mergeCell ref="N44:Q44"/>
    <mergeCell ref="V44:X44"/>
    <mergeCell ref="Z44:AC44"/>
    <mergeCell ref="AE46:AH46"/>
    <mergeCell ref="E45:G45"/>
    <mergeCell ref="I45:L45"/>
    <mergeCell ref="N45:Q45"/>
    <mergeCell ref="V45:X45"/>
    <mergeCell ref="Z45:AC45"/>
    <mergeCell ref="AE45:AH45"/>
    <mergeCell ref="E46:G46"/>
    <mergeCell ref="I46:L46"/>
    <mergeCell ref="N46:Q46"/>
    <mergeCell ref="V46:X46"/>
    <mergeCell ref="Z46:AC46"/>
    <mergeCell ref="E47:G47"/>
    <mergeCell ref="N47:Q47"/>
    <mergeCell ref="V47:X47"/>
    <mergeCell ref="AE47:AH47"/>
    <mergeCell ref="N49:Q49"/>
    <mergeCell ref="AE49:AH49"/>
    <mergeCell ref="A51:A60"/>
    <mergeCell ref="G53:H53"/>
    <mergeCell ref="L53:M53"/>
    <mergeCell ref="W53:AA53"/>
    <mergeCell ref="AD53:AH53"/>
    <mergeCell ref="G57:H57"/>
    <mergeCell ref="L57:M57"/>
    <mergeCell ref="Y57:AA57"/>
    <mergeCell ref="AD57:AH57"/>
  </mergeCells>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870"/>
  <sheetViews>
    <sheetView showGridLines="0" view="pageBreakPreview" zoomScaleNormal="100" zoomScaleSheetLayoutView="100" workbookViewId="0"/>
  </sheetViews>
  <sheetFormatPr defaultRowHeight="14.25" x14ac:dyDescent="0.2"/>
  <cols>
    <col min="1" max="1" width="11.140625" style="310" customWidth="1"/>
    <col min="2" max="3" width="8.7109375" style="310" customWidth="1"/>
    <col min="4" max="4" width="17.85546875" style="310" customWidth="1"/>
    <col min="5" max="5" width="10.140625" style="311" customWidth="1"/>
    <col min="6" max="6" width="10.140625" style="311" bestFit="1" customWidth="1"/>
    <col min="7" max="7" width="13.28515625" style="312" customWidth="1"/>
    <col min="8" max="8" width="12.42578125" style="312" customWidth="1"/>
    <col min="9" max="16384" width="9.140625" style="76"/>
  </cols>
  <sheetData>
    <row r="1" spans="1:8" s="6" customFormat="1" ht="12.75" x14ac:dyDescent="0.2"/>
    <row r="2" spans="1:8" s="6" customFormat="1" x14ac:dyDescent="0.2">
      <c r="B2" s="2" t="s">
        <v>13</v>
      </c>
    </row>
    <row r="3" spans="1:8" s="6" customFormat="1" x14ac:dyDescent="0.2">
      <c r="B3" s="76" t="s">
        <v>191</v>
      </c>
    </row>
    <row r="4" spans="1:8" s="6" customFormat="1" ht="15" customHeight="1" x14ac:dyDescent="0.2">
      <c r="B4" s="544" t="s">
        <v>139</v>
      </c>
      <c r="C4" s="545"/>
      <c r="D4" s="545"/>
      <c r="E4" s="545"/>
    </row>
    <row r="5" spans="1:8" s="6" customFormat="1" ht="5.0999999999999996" customHeight="1" x14ac:dyDescent="0.2"/>
    <row r="6" spans="1:8" s="17" customFormat="1" ht="42.75" x14ac:dyDescent="0.2">
      <c r="A6" s="313" t="s">
        <v>319</v>
      </c>
      <c r="B6" s="313" t="s">
        <v>320</v>
      </c>
      <c r="C6" s="313" t="s">
        <v>321</v>
      </c>
      <c r="D6" s="313" t="s">
        <v>322</v>
      </c>
      <c r="E6" s="313" t="s">
        <v>323</v>
      </c>
      <c r="F6" s="313" t="s">
        <v>324</v>
      </c>
      <c r="G6" s="314" t="s">
        <v>325</v>
      </c>
      <c r="H6" s="314" t="s">
        <v>326</v>
      </c>
    </row>
    <row r="7" spans="1:8" x14ac:dyDescent="0.2">
      <c r="A7" s="293" t="s">
        <v>327</v>
      </c>
      <c r="B7" s="488">
        <v>527</v>
      </c>
      <c r="C7" s="488">
        <v>533</v>
      </c>
      <c r="D7" s="294" t="s">
        <v>328</v>
      </c>
      <c r="E7" s="295">
        <v>14604</v>
      </c>
      <c r="F7" s="296">
        <v>5461</v>
      </c>
      <c r="G7" s="297">
        <v>98000</v>
      </c>
      <c r="H7" s="298">
        <f t="shared" ref="H7:H70" si="0">G7*1.05</f>
        <v>102900</v>
      </c>
    </row>
    <row r="8" spans="1:8" x14ac:dyDescent="0.2">
      <c r="A8" s="293" t="s">
        <v>329</v>
      </c>
      <c r="B8" s="488">
        <v>390</v>
      </c>
      <c r="C8" s="488">
        <v>390</v>
      </c>
      <c r="D8" s="294" t="s">
        <v>330</v>
      </c>
      <c r="E8" s="295">
        <v>14607</v>
      </c>
      <c r="F8" s="296">
        <v>2904</v>
      </c>
      <c r="G8" s="297">
        <v>80600</v>
      </c>
      <c r="H8" s="298">
        <f t="shared" si="0"/>
        <v>84630</v>
      </c>
    </row>
    <row r="9" spans="1:8" x14ac:dyDescent="0.2">
      <c r="A9" s="293" t="s">
        <v>331</v>
      </c>
      <c r="B9" s="488">
        <v>185</v>
      </c>
      <c r="C9" s="488">
        <v>189</v>
      </c>
      <c r="D9" s="294" t="s">
        <v>332</v>
      </c>
      <c r="E9" s="295">
        <v>14605</v>
      </c>
      <c r="F9" s="296">
        <v>29499</v>
      </c>
      <c r="G9" s="297">
        <v>310000</v>
      </c>
      <c r="H9" s="298">
        <f t="shared" si="0"/>
        <v>325500</v>
      </c>
    </row>
    <row r="10" spans="1:8" x14ac:dyDescent="0.2">
      <c r="A10" s="293" t="s">
        <v>333</v>
      </c>
      <c r="B10" s="488">
        <v>19</v>
      </c>
      <c r="C10" s="488">
        <v>19</v>
      </c>
      <c r="D10" s="294" t="s">
        <v>334</v>
      </c>
      <c r="E10" s="295">
        <v>14607</v>
      </c>
      <c r="F10" s="296">
        <v>53143</v>
      </c>
      <c r="G10" s="297">
        <v>770000</v>
      </c>
      <c r="H10" s="298">
        <f t="shared" si="0"/>
        <v>808500</v>
      </c>
    </row>
    <row r="11" spans="1:8" x14ac:dyDescent="0.2">
      <c r="A11" s="293" t="s">
        <v>335</v>
      </c>
      <c r="B11" s="488">
        <v>710</v>
      </c>
      <c r="C11" s="488">
        <v>710</v>
      </c>
      <c r="D11" s="294" t="s">
        <v>328</v>
      </c>
      <c r="E11" s="295">
        <v>14605</v>
      </c>
      <c r="F11" s="296">
        <v>7475</v>
      </c>
      <c r="G11" s="297">
        <v>211100</v>
      </c>
      <c r="H11" s="298">
        <f t="shared" si="0"/>
        <v>221655</v>
      </c>
    </row>
    <row r="12" spans="1:8" x14ac:dyDescent="0.2">
      <c r="A12" s="293" t="s">
        <v>336</v>
      </c>
      <c r="B12" s="488">
        <v>59</v>
      </c>
      <c r="C12" s="488">
        <v>59</v>
      </c>
      <c r="D12" s="294" t="s">
        <v>337</v>
      </c>
      <c r="E12" s="295">
        <v>14607</v>
      </c>
      <c r="F12" s="296">
        <v>0</v>
      </c>
      <c r="G12" s="297">
        <v>68000</v>
      </c>
      <c r="H12" s="298">
        <f t="shared" si="0"/>
        <v>71400</v>
      </c>
    </row>
    <row r="13" spans="1:8" x14ac:dyDescent="0.2">
      <c r="A13" s="293" t="s">
        <v>338</v>
      </c>
      <c r="B13" s="488">
        <v>121</v>
      </c>
      <c r="C13" s="488">
        <v>125</v>
      </c>
      <c r="D13" s="294" t="s">
        <v>339</v>
      </c>
      <c r="E13" s="295">
        <v>14607</v>
      </c>
      <c r="F13" s="296">
        <v>5650</v>
      </c>
      <c r="G13" s="297">
        <v>225900</v>
      </c>
      <c r="H13" s="298">
        <f t="shared" si="0"/>
        <v>237195</v>
      </c>
    </row>
    <row r="14" spans="1:8" x14ac:dyDescent="0.2">
      <c r="A14" s="293" t="s">
        <v>340</v>
      </c>
      <c r="B14" s="488">
        <v>98</v>
      </c>
      <c r="C14" s="488">
        <v>98</v>
      </c>
      <c r="D14" s="294" t="s">
        <v>341</v>
      </c>
      <c r="E14" s="295">
        <v>14607</v>
      </c>
      <c r="F14" s="296">
        <v>3900</v>
      </c>
      <c r="G14" s="297">
        <v>16500</v>
      </c>
      <c r="H14" s="298">
        <f t="shared" si="0"/>
        <v>17325</v>
      </c>
    </row>
    <row r="15" spans="1:8" x14ac:dyDescent="0.2">
      <c r="A15" s="293" t="s">
        <v>342</v>
      </c>
      <c r="B15" s="488">
        <v>302</v>
      </c>
      <c r="C15" s="488">
        <v>304</v>
      </c>
      <c r="D15" s="294" t="s">
        <v>332</v>
      </c>
      <c r="E15" s="295">
        <v>14607</v>
      </c>
      <c r="F15" s="296">
        <v>1501</v>
      </c>
      <c r="G15" s="297">
        <v>133700</v>
      </c>
      <c r="H15" s="298">
        <f t="shared" si="0"/>
        <v>140385</v>
      </c>
    </row>
    <row r="16" spans="1:8" x14ac:dyDescent="0.2">
      <c r="A16" s="293" t="s">
        <v>343</v>
      </c>
      <c r="B16" s="488">
        <v>366</v>
      </c>
      <c r="C16" s="294" t="s">
        <v>344</v>
      </c>
      <c r="D16" s="294" t="s">
        <v>332</v>
      </c>
      <c r="E16" s="295">
        <v>14607</v>
      </c>
      <c r="F16" s="296">
        <v>987</v>
      </c>
      <c r="G16" s="297">
        <v>107500</v>
      </c>
      <c r="H16" s="298">
        <f t="shared" si="0"/>
        <v>112875</v>
      </c>
    </row>
    <row r="17" spans="1:8" x14ac:dyDescent="0.2">
      <c r="A17" s="293" t="s">
        <v>345</v>
      </c>
      <c r="B17" s="488">
        <v>366</v>
      </c>
      <c r="C17" s="294" t="s">
        <v>346</v>
      </c>
      <c r="D17" s="294" t="s">
        <v>332</v>
      </c>
      <c r="E17" s="295">
        <v>14607</v>
      </c>
      <c r="F17" s="296">
        <v>2298</v>
      </c>
      <c r="G17" s="297">
        <v>108900</v>
      </c>
      <c r="H17" s="298">
        <f t="shared" si="0"/>
        <v>114345</v>
      </c>
    </row>
    <row r="18" spans="1:8" x14ac:dyDescent="0.2">
      <c r="A18" s="293" t="s">
        <v>347</v>
      </c>
      <c r="B18" s="488">
        <v>321</v>
      </c>
      <c r="C18" s="488">
        <v>325</v>
      </c>
      <c r="D18" s="294" t="s">
        <v>348</v>
      </c>
      <c r="E18" s="295">
        <v>14607</v>
      </c>
      <c r="F18" s="296">
        <v>8250</v>
      </c>
      <c r="G18" s="297">
        <v>250000</v>
      </c>
      <c r="H18" s="298">
        <f t="shared" si="0"/>
        <v>262500</v>
      </c>
    </row>
    <row r="19" spans="1:8" x14ac:dyDescent="0.2">
      <c r="A19" s="293" t="s">
        <v>349</v>
      </c>
      <c r="B19" s="488">
        <v>34</v>
      </c>
      <c r="C19" s="488">
        <v>34</v>
      </c>
      <c r="D19" s="294" t="s">
        <v>350</v>
      </c>
      <c r="E19" s="295">
        <v>14607</v>
      </c>
      <c r="F19" s="296">
        <v>3196</v>
      </c>
      <c r="G19" s="297">
        <v>120000</v>
      </c>
      <c r="H19" s="298">
        <f t="shared" si="0"/>
        <v>126000</v>
      </c>
    </row>
    <row r="20" spans="1:8" x14ac:dyDescent="0.2">
      <c r="A20" s="293" t="s">
        <v>351</v>
      </c>
      <c r="B20" s="488">
        <v>155</v>
      </c>
      <c r="C20" s="488">
        <v>155</v>
      </c>
      <c r="D20" s="294" t="s">
        <v>352</v>
      </c>
      <c r="E20" s="295">
        <v>14607</v>
      </c>
      <c r="F20" s="296">
        <v>3611</v>
      </c>
      <c r="G20" s="297">
        <v>113400</v>
      </c>
      <c r="H20" s="298">
        <f t="shared" si="0"/>
        <v>119070</v>
      </c>
    </row>
    <row r="21" spans="1:8" x14ac:dyDescent="0.2">
      <c r="A21" s="293" t="s">
        <v>353</v>
      </c>
      <c r="B21" s="488">
        <v>86</v>
      </c>
      <c r="C21" s="488">
        <v>86</v>
      </c>
      <c r="D21" s="294" t="s">
        <v>354</v>
      </c>
      <c r="E21" s="295">
        <v>14607</v>
      </c>
      <c r="F21" s="296">
        <v>35593</v>
      </c>
      <c r="G21" s="297">
        <v>1404000</v>
      </c>
      <c r="H21" s="298">
        <f t="shared" si="0"/>
        <v>1474200</v>
      </c>
    </row>
    <row r="22" spans="1:8" x14ac:dyDescent="0.2">
      <c r="A22" s="293" t="s">
        <v>355</v>
      </c>
      <c r="B22" s="488">
        <v>43</v>
      </c>
      <c r="C22" s="488">
        <v>43</v>
      </c>
      <c r="D22" s="294" t="s">
        <v>337</v>
      </c>
      <c r="E22" s="295">
        <v>14607</v>
      </c>
      <c r="F22" s="296">
        <v>4175</v>
      </c>
      <c r="G22" s="297">
        <v>120000</v>
      </c>
      <c r="H22" s="298">
        <f t="shared" si="0"/>
        <v>126000</v>
      </c>
    </row>
    <row r="23" spans="1:8" x14ac:dyDescent="0.2">
      <c r="A23" s="293" t="s">
        <v>356</v>
      </c>
      <c r="B23" s="488">
        <v>293</v>
      </c>
      <c r="C23" s="488">
        <v>293</v>
      </c>
      <c r="D23" s="294" t="s">
        <v>352</v>
      </c>
      <c r="E23" s="295">
        <v>14607</v>
      </c>
      <c r="F23" s="296">
        <v>10754</v>
      </c>
      <c r="G23" s="297">
        <v>57500</v>
      </c>
      <c r="H23" s="298">
        <f t="shared" si="0"/>
        <v>60375</v>
      </c>
    </row>
    <row r="24" spans="1:8" x14ac:dyDescent="0.2">
      <c r="A24" s="293" t="s">
        <v>357</v>
      </c>
      <c r="B24" s="488">
        <v>120</v>
      </c>
      <c r="C24" s="488">
        <v>120</v>
      </c>
      <c r="D24" s="294" t="s">
        <v>354</v>
      </c>
      <c r="E24" s="295">
        <v>14607</v>
      </c>
      <c r="F24" s="296">
        <v>10281</v>
      </c>
      <c r="G24" s="297">
        <v>240000</v>
      </c>
      <c r="H24" s="298">
        <f t="shared" si="0"/>
        <v>252000</v>
      </c>
    </row>
    <row r="25" spans="1:8" x14ac:dyDescent="0.2">
      <c r="A25" s="293" t="s">
        <v>358</v>
      </c>
      <c r="B25" s="488">
        <v>145</v>
      </c>
      <c r="C25" s="488">
        <v>147</v>
      </c>
      <c r="D25" s="294" t="s">
        <v>341</v>
      </c>
      <c r="E25" s="295">
        <v>14605</v>
      </c>
      <c r="F25" s="296">
        <v>5135</v>
      </c>
      <c r="G25" s="297">
        <v>52400</v>
      </c>
      <c r="H25" s="298">
        <f t="shared" si="0"/>
        <v>55020</v>
      </c>
    </row>
    <row r="26" spans="1:8" x14ac:dyDescent="0.2">
      <c r="A26" s="293" t="s">
        <v>359</v>
      </c>
      <c r="B26" s="488">
        <v>275</v>
      </c>
      <c r="C26" s="488">
        <v>275</v>
      </c>
      <c r="D26" s="294" t="s">
        <v>330</v>
      </c>
      <c r="E26" s="295">
        <v>14607</v>
      </c>
      <c r="F26" s="296">
        <v>4077</v>
      </c>
      <c r="G26" s="297">
        <v>140000</v>
      </c>
      <c r="H26" s="298">
        <f t="shared" si="0"/>
        <v>147000</v>
      </c>
    </row>
    <row r="27" spans="1:8" x14ac:dyDescent="0.2">
      <c r="A27" s="293" t="s">
        <v>360</v>
      </c>
      <c r="B27" s="488">
        <v>21</v>
      </c>
      <c r="C27" s="488">
        <v>21</v>
      </c>
      <c r="D27" s="294" t="s">
        <v>361</v>
      </c>
      <c r="E27" s="295">
        <v>14607</v>
      </c>
      <c r="F27" s="296">
        <v>3600</v>
      </c>
      <c r="G27" s="297">
        <v>110600</v>
      </c>
      <c r="H27" s="298">
        <f t="shared" si="0"/>
        <v>116130</v>
      </c>
    </row>
    <row r="28" spans="1:8" x14ac:dyDescent="0.2">
      <c r="A28" s="293" t="s">
        <v>362</v>
      </c>
      <c r="B28" s="488">
        <v>164</v>
      </c>
      <c r="C28" s="488">
        <v>164</v>
      </c>
      <c r="D28" s="294" t="s">
        <v>363</v>
      </c>
      <c r="E28" s="295">
        <v>14605</v>
      </c>
      <c r="F28" s="296">
        <v>2572</v>
      </c>
      <c r="G28" s="297">
        <v>170000</v>
      </c>
      <c r="H28" s="298">
        <f t="shared" si="0"/>
        <v>178500</v>
      </c>
    </row>
    <row r="29" spans="1:8" x14ac:dyDescent="0.2">
      <c r="A29" s="293" t="s">
        <v>364</v>
      </c>
      <c r="B29" s="488">
        <v>135</v>
      </c>
      <c r="C29" s="488">
        <v>135</v>
      </c>
      <c r="D29" s="294" t="s">
        <v>365</v>
      </c>
      <c r="E29" s="295">
        <v>14605</v>
      </c>
      <c r="F29" s="296">
        <v>4039</v>
      </c>
      <c r="G29" s="297">
        <v>40000</v>
      </c>
      <c r="H29" s="298">
        <f t="shared" si="0"/>
        <v>42000</v>
      </c>
    </row>
    <row r="30" spans="1:8" x14ac:dyDescent="0.2">
      <c r="A30" s="293" t="s">
        <v>366</v>
      </c>
      <c r="B30" s="488">
        <v>96</v>
      </c>
      <c r="C30" s="488">
        <v>100</v>
      </c>
      <c r="D30" s="294" t="s">
        <v>339</v>
      </c>
      <c r="E30" s="295">
        <v>14607</v>
      </c>
      <c r="F30" s="296">
        <v>27768</v>
      </c>
      <c r="G30" s="297">
        <v>984000</v>
      </c>
      <c r="H30" s="298">
        <f t="shared" si="0"/>
        <v>1033200</v>
      </c>
    </row>
    <row r="31" spans="1:8" x14ac:dyDescent="0.2">
      <c r="A31" s="293" t="s">
        <v>367</v>
      </c>
      <c r="B31" s="488">
        <v>160</v>
      </c>
      <c r="C31" s="488">
        <v>160</v>
      </c>
      <c r="D31" s="294" t="s">
        <v>368</v>
      </c>
      <c r="E31" s="295">
        <v>14607</v>
      </c>
      <c r="F31" s="296">
        <v>2995</v>
      </c>
      <c r="G31" s="297">
        <v>80000</v>
      </c>
      <c r="H31" s="298">
        <f t="shared" si="0"/>
        <v>84000</v>
      </c>
    </row>
    <row r="32" spans="1:8" x14ac:dyDescent="0.2">
      <c r="A32" s="293" t="s">
        <v>369</v>
      </c>
      <c r="B32" s="488">
        <v>216</v>
      </c>
      <c r="C32" s="488">
        <v>216</v>
      </c>
      <c r="D32" s="294" t="s">
        <v>352</v>
      </c>
      <c r="E32" s="295">
        <v>14607</v>
      </c>
      <c r="F32" s="296">
        <v>4517</v>
      </c>
      <c r="G32" s="297">
        <v>30800</v>
      </c>
      <c r="H32" s="298">
        <f t="shared" si="0"/>
        <v>32340</v>
      </c>
    </row>
    <row r="33" spans="1:8" x14ac:dyDescent="0.2">
      <c r="A33" s="293" t="s">
        <v>370</v>
      </c>
      <c r="B33" s="488">
        <v>75</v>
      </c>
      <c r="C33" s="488">
        <v>75</v>
      </c>
      <c r="D33" s="294" t="s">
        <v>337</v>
      </c>
      <c r="E33" s="295">
        <v>14607</v>
      </c>
      <c r="F33" s="296">
        <v>5274</v>
      </c>
      <c r="G33" s="297">
        <v>81100</v>
      </c>
      <c r="H33" s="298">
        <f t="shared" si="0"/>
        <v>85155</v>
      </c>
    </row>
    <row r="34" spans="1:8" x14ac:dyDescent="0.2">
      <c r="A34" s="293" t="s">
        <v>371</v>
      </c>
      <c r="B34" s="488">
        <v>51</v>
      </c>
      <c r="C34" s="488">
        <v>51</v>
      </c>
      <c r="D34" s="294" t="s">
        <v>337</v>
      </c>
      <c r="E34" s="295">
        <v>14607</v>
      </c>
      <c r="F34" s="296">
        <v>6847</v>
      </c>
      <c r="G34" s="297">
        <v>18000</v>
      </c>
      <c r="H34" s="298">
        <f t="shared" si="0"/>
        <v>18900</v>
      </c>
    </row>
    <row r="35" spans="1:8" x14ac:dyDescent="0.2">
      <c r="A35" s="293" t="s">
        <v>372</v>
      </c>
      <c r="B35" s="488">
        <v>14</v>
      </c>
      <c r="C35" s="488">
        <v>14</v>
      </c>
      <c r="D35" s="294" t="s">
        <v>373</v>
      </c>
      <c r="E35" s="295">
        <v>14607</v>
      </c>
      <c r="F35" s="296">
        <v>3448</v>
      </c>
      <c r="G35" s="297">
        <v>17500</v>
      </c>
      <c r="H35" s="298">
        <f t="shared" si="0"/>
        <v>18375</v>
      </c>
    </row>
    <row r="36" spans="1:8" x14ac:dyDescent="0.2">
      <c r="A36" s="293" t="s">
        <v>374</v>
      </c>
      <c r="B36" s="488">
        <v>207</v>
      </c>
      <c r="C36" s="488">
        <v>207</v>
      </c>
      <c r="D36" s="294" t="s">
        <v>368</v>
      </c>
      <c r="E36" s="295">
        <v>14607</v>
      </c>
      <c r="F36" s="296">
        <v>3840</v>
      </c>
      <c r="G36" s="297">
        <v>70000</v>
      </c>
      <c r="H36" s="298">
        <f t="shared" si="0"/>
        <v>73500</v>
      </c>
    </row>
    <row r="37" spans="1:8" x14ac:dyDescent="0.2">
      <c r="A37" s="293" t="s">
        <v>375</v>
      </c>
      <c r="B37" s="488">
        <v>173</v>
      </c>
      <c r="C37" s="488">
        <v>173</v>
      </c>
      <c r="D37" s="294" t="s">
        <v>368</v>
      </c>
      <c r="E37" s="295">
        <v>14607</v>
      </c>
      <c r="F37" s="296">
        <v>2598</v>
      </c>
      <c r="G37" s="297">
        <v>65000</v>
      </c>
      <c r="H37" s="298">
        <f t="shared" si="0"/>
        <v>68250</v>
      </c>
    </row>
    <row r="38" spans="1:8" x14ac:dyDescent="0.2">
      <c r="A38" s="293" t="s">
        <v>376</v>
      </c>
      <c r="B38" s="488">
        <v>95</v>
      </c>
      <c r="C38" s="488">
        <v>95</v>
      </c>
      <c r="D38" s="294" t="s">
        <v>377</v>
      </c>
      <c r="E38" s="295">
        <v>14607</v>
      </c>
      <c r="F38" s="296">
        <v>904</v>
      </c>
      <c r="G38" s="297">
        <v>11000</v>
      </c>
      <c r="H38" s="298">
        <f t="shared" si="0"/>
        <v>11550</v>
      </c>
    </row>
    <row r="39" spans="1:8" x14ac:dyDescent="0.2">
      <c r="A39" s="293" t="s">
        <v>378</v>
      </c>
      <c r="B39" s="488">
        <v>195</v>
      </c>
      <c r="C39" s="488">
        <v>195</v>
      </c>
      <c r="D39" s="294" t="s">
        <v>377</v>
      </c>
      <c r="E39" s="295">
        <v>14607</v>
      </c>
      <c r="F39" s="296">
        <v>5280</v>
      </c>
      <c r="G39" s="297">
        <v>35000</v>
      </c>
      <c r="H39" s="298">
        <f t="shared" si="0"/>
        <v>36750</v>
      </c>
    </row>
    <row r="40" spans="1:8" x14ac:dyDescent="0.2">
      <c r="A40" s="293" t="s">
        <v>379</v>
      </c>
      <c r="B40" s="488">
        <v>252</v>
      </c>
      <c r="C40" s="488">
        <v>252</v>
      </c>
      <c r="D40" s="294" t="s">
        <v>330</v>
      </c>
      <c r="E40" s="295">
        <v>14607</v>
      </c>
      <c r="F40" s="296">
        <v>17804</v>
      </c>
      <c r="G40" s="297">
        <v>264100</v>
      </c>
      <c r="H40" s="298">
        <f t="shared" si="0"/>
        <v>277305</v>
      </c>
    </row>
    <row r="41" spans="1:8" x14ac:dyDescent="0.2">
      <c r="A41" s="293" t="s">
        <v>380</v>
      </c>
      <c r="B41" s="488">
        <v>202</v>
      </c>
      <c r="C41" s="488">
        <v>204</v>
      </c>
      <c r="D41" s="294" t="s">
        <v>381</v>
      </c>
      <c r="E41" s="295">
        <v>14605</v>
      </c>
      <c r="F41" s="296">
        <v>4160</v>
      </c>
      <c r="G41" s="297">
        <v>2700</v>
      </c>
      <c r="H41" s="298">
        <f t="shared" si="0"/>
        <v>2835</v>
      </c>
    </row>
    <row r="42" spans="1:8" x14ac:dyDescent="0.2">
      <c r="A42" s="293" t="s">
        <v>382</v>
      </c>
      <c r="B42" s="488">
        <v>727</v>
      </c>
      <c r="C42" s="488">
        <v>727</v>
      </c>
      <c r="D42" s="294" t="s">
        <v>328</v>
      </c>
      <c r="E42" s="295">
        <v>14605</v>
      </c>
      <c r="F42" s="296">
        <v>23786</v>
      </c>
      <c r="G42" s="297">
        <v>434000</v>
      </c>
      <c r="H42" s="298">
        <f t="shared" si="0"/>
        <v>455700</v>
      </c>
    </row>
    <row r="43" spans="1:8" x14ac:dyDescent="0.2">
      <c r="A43" s="293" t="s">
        <v>383</v>
      </c>
      <c r="B43" s="488">
        <v>157</v>
      </c>
      <c r="C43" s="488">
        <v>161</v>
      </c>
      <c r="D43" s="294" t="s">
        <v>354</v>
      </c>
      <c r="E43" s="295">
        <v>14607</v>
      </c>
      <c r="F43" s="296">
        <v>6141</v>
      </c>
      <c r="G43" s="297">
        <v>133700</v>
      </c>
      <c r="H43" s="298">
        <f t="shared" si="0"/>
        <v>140385</v>
      </c>
    </row>
    <row r="44" spans="1:8" x14ac:dyDescent="0.2">
      <c r="A44" s="293" t="s">
        <v>384</v>
      </c>
      <c r="B44" s="488">
        <v>148</v>
      </c>
      <c r="C44" s="488">
        <v>148</v>
      </c>
      <c r="D44" s="294" t="s">
        <v>341</v>
      </c>
      <c r="E44" s="295">
        <v>14605</v>
      </c>
      <c r="F44" s="296">
        <v>5579</v>
      </c>
      <c r="G44" s="297">
        <v>14000</v>
      </c>
      <c r="H44" s="298">
        <f t="shared" si="0"/>
        <v>14700</v>
      </c>
    </row>
    <row r="45" spans="1:8" x14ac:dyDescent="0.2">
      <c r="A45" s="293" t="s">
        <v>385</v>
      </c>
      <c r="B45" s="488">
        <v>403</v>
      </c>
      <c r="C45" s="488">
        <v>403</v>
      </c>
      <c r="D45" s="294" t="s">
        <v>330</v>
      </c>
      <c r="E45" s="295">
        <v>14607</v>
      </c>
      <c r="F45" s="296">
        <v>6000</v>
      </c>
      <c r="G45" s="297">
        <v>107400</v>
      </c>
      <c r="H45" s="298">
        <f t="shared" si="0"/>
        <v>112770</v>
      </c>
    </row>
    <row r="46" spans="1:8" x14ac:dyDescent="0.2">
      <c r="A46" s="293" t="s">
        <v>386</v>
      </c>
      <c r="B46" s="488">
        <v>236</v>
      </c>
      <c r="C46" s="488">
        <v>236</v>
      </c>
      <c r="D46" s="294" t="s">
        <v>332</v>
      </c>
      <c r="E46" s="295">
        <v>14607</v>
      </c>
      <c r="F46" s="296">
        <v>15246</v>
      </c>
      <c r="G46" s="297">
        <v>170000</v>
      </c>
      <c r="H46" s="298">
        <f t="shared" si="0"/>
        <v>178500</v>
      </c>
    </row>
    <row r="47" spans="1:8" x14ac:dyDescent="0.2">
      <c r="A47" s="293" t="s">
        <v>387</v>
      </c>
      <c r="B47" s="488">
        <v>251</v>
      </c>
      <c r="C47" s="488">
        <v>255</v>
      </c>
      <c r="D47" s="294" t="s">
        <v>381</v>
      </c>
      <c r="E47" s="295">
        <v>14605</v>
      </c>
      <c r="F47" s="296">
        <v>6018</v>
      </c>
      <c r="G47" s="297">
        <v>52600</v>
      </c>
      <c r="H47" s="298">
        <f t="shared" si="0"/>
        <v>55230</v>
      </c>
    </row>
    <row r="48" spans="1:8" x14ac:dyDescent="0.2">
      <c r="A48" s="293" t="s">
        <v>388</v>
      </c>
      <c r="B48" s="488">
        <v>456</v>
      </c>
      <c r="C48" s="488">
        <v>456</v>
      </c>
      <c r="D48" s="294" t="s">
        <v>328</v>
      </c>
      <c r="E48" s="295">
        <v>14604</v>
      </c>
      <c r="F48" s="296">
        <v>1989</v>
      </c>
      <c r="G48" s="297">
        <v>19800</v>
      </c>
      <c r="H48" s="298">
        <f t="shared" si="0"/>
        <v>20790</v>
      </c>
    </row>
    <row r="49" spans="1:8" x14ac:dyDescent="0.2">
      <c r="A49" s="293" t="s">
        <v>389</v>
      </c>
      <c r="B49" s="488">
        <v>35</v>
      </c>
      <c r="C49" s="488">
        <v>35</v>
      </c>
      <c r="D49" s="294" t="s">
        <v>361</v>
      </c>
      <c r="E49" s="295">
        <v>14607</v>
      </c>
      <c r="F49" s="296">
        <v>3600</v>
      </c>
      <c r="G49" s="297">
        <v>18000</v>
      </c>
      <c r="H49" s="298">
        <f t="shared" si="0"/>
        <v>18900</v>
      </c>
    </row>
    <row r="50" spans="1:8" x14ac:dyDescent="0.2">
      <c r="A50" s="293" t="s">
        <v>390</v>
      </c>
      <c r="B50" s="488">
        <v>331</v>
      </c>
      <c r="C50" s="488">
        <v>335</v>
      </c>
      <c r="D50" s="294" t="s">
        <v>332</v>
      </c>
      <c r="E50" s="295">
        <v>14607</v>
      </c>
      <c r="F50" s="296">
        <v>0</v>
      </c>
      <c r="G50" s="297">
        <v>210000</v>
      </c>
      <c r="H50" s="298">
        <f t="shared" si="0"/>
        <v>220500</v>
      </c>
    </row>
    <row r="51" spans="1:8" x14ac:dyDescent="0.2">
      <c r="A51" s="293" t="s">
        <v>391</v>
      </c>
      <c r="B51" s="488">
        <v>80</v>
      </c>
      <c r="C51" s="488">
        <v>80</v>
      </c>
      <c r="D51" s="294" t="s">
        <v>361</v>
      </c>
      <c r="E51" s="295">
        <v>14607</v>
      </c>
      <c r="F51" s="296">
        <v>3963</v>
      </c>
      <c r="G51" s="297">
        <v>100000</v>
      </c>
      <c r="H51" s="298">
        <f t="shared" si="0"/>
        <v>105000</v>
      </c>
    </row>
    <row r="52" spans="1:8" x14ac:dyDescent="0.2">
      <c r="A52" s="293" t="s">
        <v>392</v>
      </c>
      <c r="B52" s="488">
        <v>63</v>
      </c>
      <c r="C52" s="488">
        <v>63</v>
      </c>
      <c r="D52" s="294" t="s">
        <v>337</v>
      </c>
      <c r="E52" s="295">
        <v>14607</v>
      </c>
      <c r="F52" s="296">
        <v>3524</v>
      </c>
      <c r="G52" s="297">
        <v>140000</v>
      </c>
      <c r="H52" s="298">
        <f t="shared" si="0"/>
        <v>147000</v>
      </c>
    </row>
    <row r="53" spans="1:8" x14ac:dyDescent="0.2">
      <c r="A53" s="293" t="s">
        <v>393</v>
      </c>
      <c r="B53" s="488">
        <v>659</v>
      </c>
      <c r="C53" s="488">
        <v>659</v>
      </c>
      <c r="D53" s="294" t="s">
        <v>394</v>
      </c>
      <c r="E53" s="295">
        <v>14607</v>
      </c>
      <c r="F53" s="296">
        <v>8075</v>
      </c>
      <c r="G53" s="297">
        <v>127100</v>
      </c>
      <c r="H53" s="298">
        <f t="shared" si="0"/>
        <v>133455</v>
      </c>
    </row>
    <row r="54" spans="1:8" x14ac:dyDescent="0.2">
      <c r="A54" s="293" t="s">
        <v>395</v>
      </c>
      <c r="B54" s="488">
        <v>15</v>
      </c>
      <c r="C54" s="488">
        <v>15</v>
      </c>
      <c r="D54" s="294" t="s">
        <v>396</v>
      </c>
      <c r="E54" s="295">
        <v>14604</v>
      </c>
      <c r="F54" s="296">
        <v>22371</v>
      </c>
      <c r="G54" s="297">
        <v>680000</v>
      </c>
      <c r="H54" s="298">
        <f t="shared" si="0"/>
        <v>714000</v>
      </c>
    </row>
    <row r="55" spans="1:8" x14ac:dyDescent="0.2">
      <c r="A55" s="293" t="s">
        <v>397</v>
      </c>
      <c r="B55" s="488">
        <v>163</v>
      </c>
      <c r="C55" s="488">
        <v>167</v>
      </c>
      <c r="D55" s="294" t="s">
        <v>377</v>
      </c>
      <c r="E55" s="295">
        <v>14607</v>
      </c>
      <c r="F55" s="296">
        <v>12882</v>
      </c>
      <c r="G55" s="297">
        <v>76500</v>
      </c>
      <c r="H55" s="298">
        <f t="shared" si="0"/>
        <v>80325</v>
      </c>
    </row>
    <row r="56" spans="1:8" x14ac:dyDescent="0.2">
      <c r="A56" s="293" t="s">
        <v>398</v>
      </c>
      <c r="B56" s="488">
        <v>169</v>
      </c>
      <c r="C56" s="488">
        <v>169</v>
      </c>
      <c r="D56" s="294" t="s">
        <v>399</v>
      </c>
      <c r="E56" s="295">
        <v>14607</v>
      </c>
      <c r="F56" s="296">
        <v>40865</v>
      </c>
      <c r="G56" s="297">
        <v>6600000</v>
      </c>
      <c r="H56" s="298">
        <f t="shared" si="0"/>
        <v>6930000</v>
      </c>
    </row>
    <row r="57" spans="1:8" x14ac:dyDescent="0.2">
      <c r="A57" s="293" t="s">
        <v>400</v>
      </c>
      <c r="B57" s="488">
        <v>214</v>
      </c>
      <c r="C57" s="488">
        <v>220</v>
      </c>
      <c r="D57" s="294" t="s">
        <v>348</v>
      </c>
      <c r="E57" s="295">
        <v>14607</v>
      </c>
      <c r="F57" s="296">
        <v>4286</v>
      </c>
      <c r="G57" s="297">
        <v>180000</v>
      </c>
      <c r="H57" s="298">
        <f t="shared" si="0"/>
        <v>189000</v>
      </c>
    </row>
    <row r="58" spans="1:8" x14ac:dyDescent="0.2">
      <c r="A58" s="293" t="s">
        <v>401</v>
      </c>
      <c r="B58" s="488">
        <v>189</v>
      </c>
      <c r="C58" s="488">
        <v>191</v>
      </c>
      <c r="D58" s="294" t="s">
        <v>377</v>
      </c>
      <c r="E58" s="295">
        <v>14607</v>
      </c>
      <c r="F58" s="296">
        <v>5016</v>
      </c>
      <c r="G58" s="297">
        <v>35000</v>
      </c>
      <c r="H58" s="298">
        <f t="shared" si="0"/>
        <v>36750</v>
      </c>
    </row>
    <row r="59" spans="1:8" x14ac:dyDescent="0.2">
      <c r="A59" s="293" t="s">
        <v>402</v>
      </c>
      <c r="B59" s="488">
        <v>64</v>
      </c>
      <c r="C59" s="488">
        <v>64</v>
      </c>
      <c r="D59" s="294" t="s">
        <v>354</v>
      </c>
      <c r="E59" s="295">
        <v>14607</v>
      </c>
      <c r="F59" s="296">
        <v>4844</v>
      </c>
      <c r="G59" s="297">
        <v>100000</v>
      </c>
      <c r="H59" s="298">
        <f t="shared" si="0"/>
        <v>105000</v>
      </c>
    </row>
    <row r="60" spans="1:8" x14ac:dyDescent="0.2">
      <c r="A60" s="293" t="s">
        <v>403</v>
      </c>
      <c r="B60" s="488">
        <v>17</v>
      </c>
      <c r="C60" s="488">
        <v>17</v>
      </c>
      <c r="D60" s="294" t="s">
        <v>350</v>
      </c>
      <c r="E60" s="295">
        <v>14607</v>
      </c>
      <c r="F60" s="296">
        <v>3196</v>
      </c>
      <c r="G60" s="297">
        <v>108000</v>
      </c>
      <c r="H60" s="298">
        <f t="shared" si="0"/>
        <v>113400</v>
      </c>
    </row>
    <row r="61" spans="1:8" x14ac:dyDescent="0.2">
      <c r="A61" s="293" t="s">
        <v>404</v>
      </c>
      <c r="B61" s="488">
        <v>29</v>
      </c>
      <c r="C61" s="488">
        <v>29</v>
      </c>
      <c r="D61" s="294" t="s">
        <v>350</v>
      </c>
      <c r="E61" s="295">
        <v>14607</v>
      </c>
      <c r="F61" s="296">
        <v>3196</v>
      </c>
      <c r="G61" s="297">
        <v>112000</v>
      </c>
      <c r="H61" s="298">
        <f t="shared" si="0"/>
        <v>117600</v>
      </c>
    </row>
    <row r="62" spans="1:8" x14ac:dyDescent="0.2">
      <c r="A62" s="293" t="s">
        <v>405</v>
      </c>
      <c r="B62" s="488">
        <v>91</v>
      </c>
      <c r="C62" s="488">
        <v>91</v>
      </c>
      <c r="D62" s="294" t="s">
        <v>361</v>
      </c>
      <c r="E62" s="295">
        <v>14607</v>
      </c>
      <c r="F62" s="296">
        <v>4887</v>
      </c>
      <c r="G62" s="297">
        <v>61500</v>
      </c>
      <c r="H62" s="298">
        <f t="shared" si="0"/>
        <v>64575</v>
      </c>
    </row>
    <row r="63" spans="1:8" x14ac:dyDescent="0.2">
      <c r="A63" s="293" t="s">
        <v>406</v>
      </c>
      <c r="B63" s="488">
        <v>11</v>
      </c>
      <c r="C63" s="488">
        <v>11</v>
      </c>
      <c r="D63" s="294" t="s">
        <v>407</v>
      </c>
      <c r="E63" s="295">
        <v>14605</v>
      </c>
      <c r="F63" s="296">
        <v>3753</v>
      </c>
      <c r="G63" s="297">
        <v>57800</v>
      </c>
      <c r="H63" s="298">
        <f t="shared" si="0"/>
        <v>60690</v>
      </c>
    </row>
    <row r="64" spans="1:8" x14ac:dyDescent="0.2">
      <c r="A64" s="293" t="s">
        <v>408</v>
      </c>
      <c r="B64" s="488">
        <v>45</v>
      </c>
      <c r="C64" s="488">
        <v>49</v>
      </c>
      <c r="D64" s="294" t="s">
        <v>377</v>
      </c>
      <c r="E64" s="295">
        <v>14607</v>
      </c>
      <c r="F64" s="296">
        <v>6221</v>
      </c>
      <c r="G64" s="297">
        <v>255000</v>
      </c>
      <c r="H64" s="298">
        <f t="shared" si="0"/>
        <v>267750</v>
      </c>
    </row>
    <row r="65" spans="1:8" x14ac:dyDescent="0.2">
      <c r="A65" s="293" t="s">
        <v>409</v>
      </c>
      <c r="B65" s="488">
        <v>51</v>
      </c>
      <c r="C65" s="488">
        <v>55</v>
      </c>
      <c r="D65" s="294" t="s">
        <v>410</v>
      </c>
      <c r="E65" s="295">
        <v>14605</v>
      </c>
      <c r="F65" s="296">
        <v>3522</v>
      </c>
      <c r="G65" s="297">
        <v>180000</v>
      </c>
      <c r="H65" s="298">
        <f t="shared" si="0"/>
        <v>189000</v>
      </c>
    </row>
    <row r="66" spans="1:8" x14ac:dyDescent="0.2">
      <c r="A66" s="293" t="s">
        <v>411</v>
      </c>
      <c r="B66" s="488">
        <v>121</v>
      </c>
      <c r="C66" s="488">
        <v>121</v>
      </c>
      <c r="D66" s="294" t="s">
        <v>332</v>
      </c>
      <c r="E66" s="295">
        <v>14605</v>
      </c>
      <c r="F66" s="296">
        <v>2654</v>
      </c>
      <c r="G66" s="297">
        <v>379000</v>
      </c>
      <c r="H66" s="298">
        <f t="shared" si="0"/>
        <v>397950</v>
      </c>
    </row>
    <row r="67" spans="1:8" x14ac:dyDescent="0.2">
      <c r="A67" s="293" t="s">
        <v>412</v>
      </c>
      <c r="B67" s="488">
        <v>2</v>
      </c>
      <c r="C67" s="488">
        <v>2</v>
      </c>
      <c r="D67" s="294" t="s">
        <v>407</v>
      </c>
      <c r="E67" s="295">
        <v>14605</v>
      </c>
      <c r="F67" s="296">
        <v>6839</v>
      </c>
      <c r="G67" s="297">
        <v>180000</v>
      </c>
      <c r="H67" s="298">
        <f t="shared" si="0"/>
        <v>189000</v>
      </c>
    </row>
    <row r="68" spans="1:8" x14ac:dyDescent="0.2">
      <c r="A68" s="293" t="s">
        <v>413</v>
      </c>
      <c r="B68" s="488">
        <v>237</v>
      </c>
      <c r="C68" s="488">
        <v>237</v>
      </c>
      <c r="D68" s="294" t="s">
        <v>330</v>
      </c>
      <c r="E68" s="295">
        <v>14607</v>
      </c>
      <c r="F68" s="296">
        <v>21841</v>
      </c>
      <c r="G68" s="297">
        <v>120000</v>
      </c>
      <c r="H68" s="298">
        <f t="shared" si="0"/>
        <v>126000</v>
      </c>
    </row>
    <row r="69" spans="1:8" x14ac:dyDescent="0.2">
      <c r="A69" s="299" t="s">
        <v>414</v>
      </c>
      <c r="B69" s="489">
        <v>375</v>
      </c>
      <c r="C69" s="489">
        <v>375</v>
      </c>
      <c r="D69" s="300" t="s">
        <v>415</v>
      </c>
      <c r="E69" s="301">
        <v>14607</v>
      </c>
      <c r="F69" s="302">
        <v>1906</v>
      </c>
      <c r="G69" s="303">
        <v>107600</v>
      </c>
      <c r="H69" s="304">
        <f t="shared" si="0"/>
        <v>112980</v>
      </c>
    </row>
    <row r="70" spans="1:8" x14ac:dyDescent="0.2">
      <c r="A70" s="293" t="s">
        <v>416</v>
      </c>
      <c r="B70" s="488">
        <v>7</v>
      </c>
      <c r="C70" s="488">
        <v>7</v>
      </c>
      <c r="D70" s="294" t="s">
        <v>373</v>
      </c>
      <c r="E70" s="295">
        <v>14607</v>
      </c>
      <c r="F70" s="296">
        <v>5394</v>
      </c>
      <c r="G70" s="297">
        <v>315000</v>
      </c>
      <c r="H70" s="298">
        <f t="shared" si="0"/>
        <v>330750</v>
      </c>
    </row>
    <row r="71" spans="1:8" x14ac:dyDescent="0.2">
      <c r="A71" s="293" t="s">
        <v>417</v>
      </c>
      <c r="B71" s="488">
        <v>129</v>
      </c>
      <c r="C71" s="488">
        <v>129</v>
      </c>
      <c r="D71" s="294" t="s">
        <v>418</v>
      </c>
      <c r="E71" s="295">
        <v>14605</v>
      </c>
      <c r="F71" s="296">
        <v>8580</v>
      </c>
      <c r="G71" s="297">
        <v>74000</v>
      </c>
      <c r="H71" s="298">
        <f t="shared" ref="H71:H134" si="1">G71*1.05</f>
        <v>77700</v>
      </c>
    </row>
    <row r="72" spans="1:8" x14ac:dyDescent="0.2">
      <c r="A72" s="293" t="s">
        <v>419</v>
      </c>
      <c r="B72" s="488">
        <v>170</v>
      </c>
      <c r="C72" s="488">
        <v>180</v>
      </c>
      <c r="D72" s="294" t="s">
        <v>420</v>
      </c>
      <c r="E72" s="295">
        <v>14604</v>
      </c>
      <c r="F72" s="296">
        <v>12294</v>
      </c>
      <c r="G72" s="297">
        <v>379200</v>
      </c>
      <c r="H72" s="298">
        <f t="shared" si="1"/>
        <v>398160</v>
      </c>
    </row>
    <row r="73" spans="1:8" x14ac:dyDescent="0.2">
      <c r="A73" s="293" t="s">
        <v>421</v>
      </c>
      <c r="B73" s="488">
        <v>420</v>
      </c>
      <c r="C73" s="488">
        <v>420</v>
      </c>
      <c r="D73" s="294" t="s">
        <v>352</v>
      </c>
      <c r="E73" s="295">
        <v>14607</v>
      </c>
      <c r="F73" s="296">
        <v>30320</v>
      </c>
      <c r="G73" s="297">
        <v>423700</v>
      </c>
      <c r="H73" s="298">
        <f t="shared" si="1"/>
        <v>444885</v>
      </c>
    </row>
    <row r="74" spans="1:8" x14ac:dyDescent="0.2">
      <c r="A74" s="293" t="s">
        <v>422</v>
      </c>
      <c r="B74" s="488">
        <v>258</v>
      </c>
      <c r="C74" s="488">
        <v>258</v>
      </c>
      <c r="D74" s="294" t="s">
        <v>330</v>
      </c>
      <c r="E74" s="295">
        <v>14607</v>
      </c>
      <c r="F74" s="296">
        <v>7686</v>
      </c>
      <c r="G74" s="297">
        <v>130000</v>
      </c>
      <c r="H74" s="298">
        <f t="shared" si="1"/>
        <v>136500</v>
      </c>
    </row>
    <row r="75" spans="1:8" x14ac:dyDescent="0.2">
      <c r="A75" s="293" t="s">
        <v>423</v>
      </c>
      <c r="B75" s="488">
        <v>24</v>
      </c>
      <c r="C75" s="488">
        <v>24</v>
      </c>
      <c r="D75" s="294" t="s">
        <v>424</v>
      </c>
      <c r="E75" s="295">
        <v>14607</v>
      </c>
      <c r="F75" s="296">
        <v>15301</v>
      </c>
      <c r="G75" s="297">
        <v>335000</v>
      </c>
      <c r="H75" s="298">
        <f t="shared" si="1"/>
        <v>351750</v>
      </c>
    </row>
    <row r="76" spans="1:8" x14ac:dyDescent="0.2">
      <c r="A76" s="293" t="s">
        <v>425</v>
      </c>
      <c r="B76" s="488">
        <v>151</v>
      </c>
      <c r="C76" s="488">
        <v>151</v>
      </c>
      <c r="D76" s="294" t="s">
        <v>365</v>
      </c>
      <c r="E76" s="295">
        <v>14605</v>
      </c>
      <c r="F76" s="296">
        <v>4039</v>
      </c>
      <c r="G76" s="297">
        <v>33000</v>
      </c>
      <c r="H76" s="298">
        <f t="shared" si="1"/>
        <v>34650</v>
      </c>
    </row>
    <row r="77" spans="1:8" x14ac:dyDescent="0.2">
      <c r="A77" s="293" t="s">
        <v>426</v>
      </c>
      <c r="B77" s="488">
        <v>242</v>
      </c>
      <c r="C77" s="488">
        <v>242</v>
      </c>
      <c r="D77" s="294" t="s">
        <v>381</v>
      </c>
      <c r="E77" s="295">
        <v>14605</v>
      </c>
      <c r="F77" s="296">
        <v>2128</v>
      </c>
      <c r="G77" s="297">
        <v>1400</v>
      </c>
      <c r="H77" s="298">
        <f t="shared" si="1"/>
        <v>1470</v>
      </c>
    </row>
    <row r="78" spans="1:8" x14ac:dyDescent="0.2">
      <c r="A78" s="293" t="s">
        <v>427</v>
      </c>
      <c r="B78" s="488">
        <v>690</v>
      </c>
      <c r="C78" s="488">
        <v>690</v>
      </c>
      <c r="D78" s="294" t="s">
        <v>328</v>
      </c>
      <c r="E78" s="295">
        <v>14605</v>
      </c>
      <c r="F78" s="296">
        <v>8056</v>
      </c>
      <c r="G78" s="297">
        <v>140000</v>
      </c>
      <c r="H78" s="298">
        <f t="shared" si="1"/>
        <v>147000</v>
      </c>
    </row>
    <row r="79" spans="1:8" x14ac:dyDescent="0.2">
      <c r="A79" s="293" t="s">
        <v>428</v>
      </c>
      <c r="B79" s="488">
        <v>165</v>
      </c>
      <c r="C79" s="488">
        <v>169</v>
      </c>
      <c r="D79" s="294" t="s">
        <v>352</v>
      </c>
      <c r="E79" s="295">
        <v>14607</v>
      </c>
      <c r="F79" s="296">
        <v>2621</v>
      </c>
      <c r="G79" s="297">
        <v>147200</v>
      </c>
      <c r="H79" s="298">
        <f t="shared" si="1"/>
        <v>154560</v>
      </c>
    </row>
    <row r="80" spans="1:8" x14ac:dyDescent="0.2">
      <c r="A80" s="293" t="s">
        <v>429</v>
      </c>
      <c r="B80" s="488">
        <v>235</v>
      </c>
      <c r="C80" s="488">
        <v>235</v>
      </c>
      <c r="D80" s="294" t="s">
        <v>330</v>
      </c>
      <c r="E80" s="295">
        <v>14607</v>
      </c>
      <c r="F80" s="296">
        <v>12137</v>
      </c>
      <c r="G80" s="297">
        <v>179000</v>
      </c>
      <c r="H80" s="298">
        <f t="shared" si="1"/>
        <v>187950</v>
      </c>
    </row>
    <row r="81" spans="1:8" x14ac:dyDescent="0.2">
      <c r="A81" s="293" t="s">
        <v>430</v>
      </c>
      <c r="B81" s="488">
        <v>128</v>
      </c>
      <c r="C81" s="488">
        <v>128</v>
      </c>
      <c r="D81" s="294" t="s">
        <v>354</v>
      </c>
      <c r="E81" s="295">
        <v>14607</v>
      </c>
      <c r="F81" s="296">
        <v>839</v>
      </c>
      <c r="G81" s="297">
        <v>2200</v>
      </c>
      <c r="H81" s="298">
        <f t="shared" si="1"/>
        <v>2310</v>
      </c>
    </row>
    <row r="82" spans="1:8" x14ac:dyDescent="0.2">
      <c r="A82" s="293" t="s">
        <v>431</v>
      </c>
      <c r="B82" s="488">
        <v>106</v>
      </c>
      <c r="C82" s="488">
        <v>106</v>
      </c>
      <c r="D82" s="294" t="s">
        <v>368</v>
      </c>
      <c r="E82" s="295">
        <v>14607</v>
      </c>
      <c r="F82" s="296">
        <v>2200</v>
      </c>
      <c r="G82" s="297">
        <v>95000</v>
      </c>
      <c r="H82" s="298">
        <f t="shared" si="1"/>
        <v>99750</v>
      </c>
    </row>
    <row r="83" spans="1:8" x14ac:dyDescent="0.2">
      <c r="A83" s="293" t="s">
        <v>432</v>
      </c>
      <c r="B83" s="488">
        <v>154</v>
      </c>
      <c r="C83" s="488">
        <v>156</v>
      </c>
      <c r="D83" s="294" t="s">
        <v>341</v>
      </c>
      <c r="E83" s="295">
        <v>14605</v>
      </c>
      <c r="F83" s="296">
        <v>4639</v>
      </c>
      <c r="G83" s="297">
        <v>54000</v>
      </c>
      <c r="H83" s="298">
        <f t="shared" si="1"/>
        <v>56700</v>
      </c>
    </row>
    <row r="84" spans="1:8" x14ac:dyDescent="0.2">
      <c r="A84" s="293" t="s">
        <v>433</v>
      </c>
      <c r="B84" s="488">
        <v>408</v>
      </c>
      <c r="C84" s="488">
        <v>408</v>
      </c>
      <c r="D84" s="294" t="s">
        <v>415</v>
      </c>
      <c r="E84" s="295">
        <v>14607</v>
      </c>
      <c r="F84" s="296">
        <v>6775</v>
      </c>
      <c r="G84" s="297">
        <v>157000</v>
      </c>
      <c r="H84" s="298">
        <f t="shared" si="1"/>
        <v>164850</v>
      </c>
    </row>
    <row r="85" spans="1:8" x14ac:dyDescent="0.2">
      <c r="A85" s="293" t="s">
        <v>434</v>
      </c>
      <c r="B85" s="488">
        <v>96</v>
      </c>
      <c r="C85" s="488">
        <v>96</v>
      </c>
      <c r="D85" s="294" t="s">
        <v>341</v>
      </c>
      <c r="E85" s="295">
        <v>14607</v>
      </c>
      <c r="F85" s="296">
        <v>5850</v>
      </c>
      <c r="G85" s="297">
        <v>31600</v>
      </c>
      <c r="H85" s="298">
        <f t="shared" si="1"/>
        <v>33180</v>
      </c>
    </row>
    <row r="86" spans="1:8" x14ac:dyDescent="0.2">
      <c r="A86" s="293" t="s">
        <v>435</v>
      </c>
      <c r="B86" s="488">
        <v>357</v>
      </c>
      <c r="C86" s="488">
        <v>379</v>
      </c>
      <c r="D86" s="294" t="s">
        <v>332</v>
      </c>
      <c r="E86" s="295">
        <v>14607</v>
      </c>
      <c r="F86" s="296">
        <v>16151</v>
      </c>
      <c r="G86" s="297">
        <v>141100</v>
      </c>
      <c r="H86" s="298">
        <f t="shared" si="1"/>
        <v>148155</v>
      </c>
    </row>
    <row r="87" spans="1:8" x14ac:dyDescent="0.2">
      <c r="A87" s="293" t="s">
        <v>436</v>
      </c>
      <c r="B87" s="488">
        <v>707</v>
      </c>
      <c r="C87" s="488">
        <v>709</v>
      </c>
      <c r="D87" s="294" t="s">
        <v>328</v>
      </c>
      <c r="E87" s="295">
        <v>14605</v>
      </c>
      <c r="F87" s="296">
        <v>15884</v>
      </c>
      <c r="G87" s="297">
        <v>116100</v>
      </c>
      <c r="H87" s="298">
        <f t="shared" si="1"/>
        <v>121905</v>
      </c>
    </row>
    <row r="88" spans="1:8" x14ac:dyDescent="0.2">
      <c r="A88" s="293" t="s">
        <v>437</v>
      </c>
      <c r="B88" s="488">
        <v>581</v>
      </c>
      <c r="C88" s="488">
        <v>583</v>
      </c>
      <c r="D88" s="294" t="s">
        <v>328</v>
      </c>
      <c r="E88" s="295">
        <v>14604</v>
      </c>
      <c r="F88" s="296">
        <v>8480</v>
      </c>
      <c r="G88" s="297">
        <v>154000</v>
      </c>
      <c r="H88" s="298">
        <f t="shared" si="1"/>
        <v>161700</v>
      </c>
    </row>
    <row r="89" spans="1:8" x14ac:dyDescent="0.2">
      <c r="A89" s="293" t="s">
        <v>438</v>
      </c>
      <c r="B89" s="488">
        <v>66</v>
      </c>
      <c r="C89" s="488">
        <v>66</v>
      </c>
      <c r="D89" s="294" t="s">
        <v>415</v>
      </c>
      <c r="E89" s="295">
        <v>14607</v>
      </c>
      <c r="F89" s="296">
        <v>2119</v>
      </c>
      <c r="G89" s="297">
        <v>8500</v>
      </c>
      <c r="H89" s="298">
        <f t="shared" si="1"/>
        <v>8925</v>
      </c>
    </row>
    <row r="90" spans="1:8" x14ac:dyDescent="0.2">
      <c r="A90" s="293" t="s">
        <v>439</v>
      </c>
      <c r="B90" s="488">
        <v>119</v>
      </c>
      <c r="C90" s="488">
        <v>121</v>
      </c>
      <c r="D90" s="294" t="s">
        <v>368</v>
      </c>
      <c r="E90" s="295">
        <v>14607</v>
      </c>
      <c r="F90" s="296">
        <v>4400</v>
      </c>
      <c r="G90" s="297">
        <v>106900</v>
      </c>
      <c r="H90" s="298">
        <f t="shared" si="1"/>
        <v>112245</v>
      </c>
    </row>
    <row r="91" spans="1:8" x14ac:dyDescent="0.2">
      <c r="A91" s="293" t="s">
        <v>440</v>
      </c>
      <c r="B91" s="488">
        <v>349</v>
      </c>
      <c r="C91" s="488">
        <v>355</v>
      </c>
      <c r="D91" s="294" t="s">
        <v>330</v>
      </c>
      <c r="E91" s="295">
        <v>14607</v>
      </c>
      <c r="F91" s="296">
        <v>8290</v>
      </c>
      <c r="G91" s="297">
        <v>139800</v>
      </c>
      <c r="H91" s="298">
        <f t="shared" si="1"/>
        <v>146790</v>
      </c>
    </row>
    <row r="92" spans="1:8" x14ac:dyDescent="0.2">
      <c r="A92" s="293" t="s">
        <v>441</v>
      </c>
      <c r="B92" s="488">
        <v>253</v>
      </c>
      <c r="C92" s="488">
        <v>253</v>
      </c>
      <c r="D92" s="294" t="s">
        <v>330</v>
      </c>
      <c r="E92" s="295">
        <v>14607</v>
      </c>
      <c r="F92" s="296">
        <v>77824</v>
      </c>
      <c r="G92" s="297">
        <v>2576000</v>
      </c>
      <c r="H92" s="298">
        <f t="shared" si="1"/>
        <v>2704800</v>
      </c>
    </row>
    <row r="93" spans="1:8" x14ac:dyDescent="0.2">
      <c r="A93" s="293" t="s">
        <v>442</v>
      </c>
      <c r="B93" s="488">
        <v>26</v>
      </c>
      <c r="C93" s="488">
        <v>26</v>
      </c>
      <c r="D93" s="294" t="s">
        <v>443</v>
      </c>
      <c r="E93" s="295">
        <v>14607</v>
      </c>
      <c r="F93" s="296">
        <v>3039</v>
      </c>
      <c r="G93" s="297">
        <v>99000</v>
      </c>
      <c r="H93" s="298">
        <f t="shared" si="1"/>
        <v>103950</v>
      </c>
    </row>
    <row r="94" spans="1:8" x14ac:dyDescent="0.2">
      <c r="A94" s="293" t="s">
        <v>444</v>
      </c>
      <c r="B94" s="488">
        <v>31</v>
      </c>
      <c r="C94" s="488">
        <v>31</v>
      </c>
      <c r="D94" s="294" t="s">
        <v>443</v>
      </c>
      <c r="E94" s="295">
        <v>14607</v>
      </c>
      <c r="F94" s="296">
        <v>3173</v>
      </c>
      <c r="G94" s="297">
        <v>90000</v>
      </c>
      <c r="H94" s="298">
        <f t="shared" si="1"/>
        <v>94500</v>
      </c>
    </row>
    <row r="95" spans="1:8" x14ac:dyDescent="0.2">
      <c r="A95" s="293" t="s">
        <v>364</v>
      </c>
      <c r="B95" s="488">
        <v>135</v>
      </c>
      <c r="C95" s="488">
        <v>135</v>
      </c>
      <c r="D95" s="294" t="s">
        <v>418</v>
      </c>
      <c r="E95" s="295">
        <v>14605</v>
      </c>
      <c r="F95" s="296">
        <v>4290</v>
      </c>
      <c r="G95" s="297">
        <v>3700</v>
      </c>
      <c r="H95" s="298">
        <f t="shared" si="1"/>
        <v>3885</v>
      </c>
    </row>
    <row r="96" spans="1:8" x14ac:dyDescent="0.2">
      <c r="A96" s="293" t="s">
        <v>445</v>
      </c>
      <c r="B96" s="488">
        <v>308</v>
      </c>
      <c r="C96" s="488">
        <v>308</v>
      </c>
      <c r="D96" s="294" t="s">
        <v>332</v>
      </c>
      <c r="E96" s="295">
        <v>14607</v>
      </c>
      <c r="F96" s="296">
        <v>1171</v>
      </c>
      <c r="G96" s="297">
        <v>2800</v>
      </c>
      <c r="H96" s="298">
        <f t="shared" si="1"/>
        <v>2940</v>
      </c>
    </row>
    <row r="97" spans="1:8" x14ac:dyDescent="0.2">
      <c r="A97" s="293" t="s">
        <v>446</v>
      </c>
      <c r="B97" s="488">
        <v>298</v>
      </c>
      <c r="C97" s="488">
        <v>300</v>
      </c>
      <c r="D97" s="294" t="s">
        <v>420</v>
      </c>
      <c r="E97" s="295">
        <v>14604</v>
      </c>
      <c r="F97" s="296">
        <v>8754</v>
      </c>
      <c r="G97" s="297">
        <v>95000</v>
      </c>
      <c r="H97" s="298">
        <f t="shared" si="1"/>
        <v>99750</v>
      </c>
    </row>
    <row r="98" spans="1:8" x14ac:dyDescent="0.2">
      <c r="A98" s="293" t="s">
        <v>447</v>
      </c>
      <c r="B98" s="488">
        <v>170</v>
      </c>
      <c r="C98" s="488">
        <v>174</v>
      </c>
      <c r="D98" s="294" t="s">
        <v>368</v>
      </c>
      <c r="E98" s="295">
        <v>14607</v>
      </c>
      <c r="F98" s="296">
        <v>1800</v>
      </c>
      <c r="G98" s="297">
        <v>141100</v>
      </c>
      <c r="H98" s="298">
        <f t="shared" si="1"/>
        <v>148155</v>
      </c>
    </row>
    <row r="99" spans="1:8" x14ac:dyDescent="0.2">
      <c r="A99" s="293" t="s">
        <v>448</v>
      </c>
      <c r="B99" s="488">
        <v>38</v>
      </c>
      <c r="C99" s="488">
        <v>40</v>
      </c>
      <c r="D99" s="294" t="s">
        <v>354</v>
      </c>
      <c r="E99" s="295">
        <v>14607</v>
      </c>
      <c r="F99" s="296">
        <v>4285</v>
      </c>
      <c r="G99" s="297">
        <v>165000</v>
      </c>
      <c r="H99" s="298">
        <f t="shared" si="1"/>
        <v>173250</v>
      </c>
    </row>
    <row r="100" spans="1:8" x14ac:dyDescent="0.2">
      <c r="A100" s="293" t="s">
        <v>449</v>
      </c>
      <c r="B100" s="488">
        <v>83</v>
      </c>
      <c r="C100" s="488">
        <v>85</v>
      </c>
      <c r="D100" s="294" t="s">
        <v>450</v>
      </c>
      <c r="E100" s="295">
        <v>14607</v>
      </c>
      <c r="F100" s="296">
        <v>11467</v>
      </c>
      <c r="G100" s="297">
        <v>187100</v>
      </c>
      <c r="H100" s="298">
        <f t="shared" si="1"/>
        <v>196455</v>
      </c>
    </row>
    <row r="101" spans="1:8" x14ac:dyDescent="0.2">
      <c r="A101" s="293" t="s">
        <v>451</v>
      </c>
      <c r="B101" s="488">
        <v>48</v>
      </c>
      <c r="C101" s="488">
        <v>50</v>
      </c>
      <c r="D101" s="294" t="s">
        <v>365</v>
      </c>
      <c r="E101" s="295">
        <v>14604</v>
      </c>
      <c r="F101" s="296">
        <v>8303</v>
      </c>
      <c r="G101" s="297">
        <v>237600</v>
      </c>
      <c r="H101" s="298">
        <f t="shared" si="1"/>
        <v>249480</v>
      </c>
    </row>
    <row r="102" spans="1:8" x14ac:dyDescent="0.2">
      <c r="A102" s="293" t="s">
        <v>372</v>
      </c>
      <c r="B102" s="488">
        <v>14</v>
      </c>
      <c r="C102" s="488">
        <v>14</v>
      </c>
      <c r="D102" s="294" t="s">
        <v>452</v>
      </c>
      <c r="E102" s="295">
        <v>14607</v>
      </c>
      <c r="F102" s="296">
        <v>6014</v>
      </c>
      <c r="G102" s="297">
        <v>105300</v>
      </c>
      <c r="H102" s="298">
        <f t="shared" si="1"/>
        <v>110565</v>
      </c>
    </row>
    <row r="103" spans="1:8" x14ac:dyDescent="0.2">
      <c r="A103" s="293" t="s">
        <v>453</v>
      </c>
      <c r="B103" s="488">
        <v>47</v>
      </c>
      <c r="C103" s="488">
        <v>47</v>
      </c>
      <c r="D103" s="294" t="s">
        <v>454</v>
      </c>
      <c r="E103" s="295">
        <v>14607</v>
      </c>
      <c r="F103" s="296">
        <v>46195</v>
      </c>
      <c r="G103" s="297">
        <v>633900</v>
      </c>
      <c r="H103" s="298">
        <f t="shared" si="1"/>
        <v>665595</v>
      </c>
    </row>
    <row r="104" spans="1:8" x14ac:dyDescent="0.2">
      <c r="A104" s="293" t="s">
        <v>389</v>
      </c>
      <c r="B104" s="488">
        <v>35</v>
      </c>
      <c r="C104" s="488">
        <v>35</v>
      </c>
      <c r="D104" s="294" t="s">
        <v>455</v>
      </c>
      <c r="E104" s="295">
        <v>14607</v>
      </c>
      <c r="F104" s="296">
        <v>3000</v>
      </c>
      <c r="G104" s="297">
        <v>102500</v>
      </c>
      <c r="H104" s="298">
        <f t="shared" si="1"/>
        <v>107625</v>
      </c>
    </row>
    <row r="105" spans="1:8" x14ac:dyDescent="0.2">
      <c r="A105" s="293" t="s">
        <v>456</v>
      </c>
      <c r="B105" s="488">
        <v>10</v>
      </c>
      <c r="C105" s="488">
        <v>10.5</v>
      </c>
      <c r="D105" s="294" t="s">
        <v>452</v>
      </c>
      <c r="E105" s="295">
        <v>14607</v>
      </c>
      <c r="F105" s="296">
        <v>5273</v>
      </c>
      <c r="G105" s="297">
        <v>125000</v>
      </c>
      <c r="H105" s="298">
        <f t="shared" si="1"/>
        <v>131250</v>
      </c>
    </row>
    <row r="106" spans="1:8" x14ac:dyDescent="0.2">
      <c r="A106" s="293" t="s">
        <v>457</v>
      </c>
      <c r="B106" s="488">
        <v>501</v>
      </c>
      <c r="C106" s="488">
        <v>501</v>
      </c>
      <c r="D106" s="294" t="s">
        <v>420</v>
      </c>
      <c r="E106" s="295">
        <v>14607</v>
      </c>
      <c r="F106" s="296">
        <v>31695</v>
      </c>
      <c r="G106" s="297">
        <v>47500</v>
      </c>
      <c r="H106" s="298">
        <f t="shared" si="1"/>
        <v>49875</v>
      </c>
    </row>
    <row r="107" spans="1:8" x14ac:dyDescent="0.2">
      <c r="A107" s="293" t="s">
        <v>458</v>
      </c>
      <c r="B107" s="488">
        <v>39</v>
      </c>
      <c r="C107" s="488">
        <v>39</v>
      </c>
      <c r="D107" s="294" t="s">
        <v>455</v>
      </c>
      <c r="E107" s="295">
        <v>14607</v>
      </c>
      <c r="F107" s="296">
        <v>3018</v>
      </c>
      <c r="G107" s="297">
        <v>130000</v>
      </c>
      <c r="H107" s="298">
        <f t="shared" si="1"/>
        <v>136500</v>
      </c>
    </row>
    <row r="108" spans="1:8" x14ac:dyDescent="0.2">
      <c r="A108" s="293" t="s">
        <v>459</v>
      </c>
      <c r="B108" s="488">
        <v>10</v>
      </c>
      <c r="C108" s="488">
        <v>10</v>
      </c>
      <c r="D108" s="294" t="s">
        <v>460</v>
      </c>
      <c r="E108" s="295">
        <v>14607</v>
      </c>
      <c r="F108" s="296">
        <v>7860</v>
      </c>
      <c r="G108" s="297">
        <v>325000</v>
      </c>
      <c r="H108" s="298">
        <f t="shared" si="1"/>
        <v>341250</v>
      </c>
    </row>
    <row r="109" spans="1:8" x14ac:dyDescent="0.2">
      <c r="A109" s="293" t="s">
        <v>461</v>
      </c>
      <c r="B109" s="488">
        <v>718</v>
      </c>
      <c r="C109" s="488">
        <v>718</v>
      </c>
      <c r="D109" s="294" t="s">
        <v>328</v>
      </c>
      <c r="E109" s="295">
        <v>14605</v>
      </c>
      <c r="F109" s="296">
        <v>9576</v>
      </c>
      <c r="G109" s="297">
        <v>261800</v>
      </c>
      <c r="H109" s="298">
        <f t="shared" si="1"/>
        <v>274890</v>
      </c>
    </row>
    <row r="110" spans="1:8" x14ac:dyDescent="0.2">
      <c r="A110" s="293" t="s">
        <v>462</v>
      </c>
      <c r="B110" s="488">
        <v>376</v>
      </c>
      <c r="C110" s="488">
        <v>378</v>
      </c>
      <c r="D110" s="294" t="s">
        <v>415</v>
      </c>
      <c r="E110" s="295">
        <v>14607</v>
      </c>
      <c r="F110" s="296">
        <v>4727</v>
      </c>
      <c r="G110" s="297">
        <v>125000</v>
      </c>
      <c r="H110" s="298">
        <f t="shared" si="1"/>
        <v>131250</v>
      </c>
    </row>
    <row r="111" spans="1:8" x14ac:dyDescent="0.2">
      <c r="A111" s="293" t="s">
        <v>463</v>
      </c>
      <c r="B111" s="488">
        <v>33</v>
      </c>
      <c r="C111" s="488">
        <v>33</v>
      </c>
      <c r="D111" s="294" t="s">
        <v>464</v>
      </c>
      <c r="E111" s="295">
        <v>14607</v>
      </c>
      <c r="F111" s="296">
        <v>4030</v>
      </c>
      <c r="G111" s="297">
        <v>98000</v>
      </c>
      <c r="H111" s="298">
        <f t="shared" si="1"/>
        <v>102900</v>
      </c>
    </row>
    <row r="112" spans="1:8" x14ac:dyDescent="0.2">
      <c r="A112" s="293" t="s">
        <v>465</v>
      </c>
      <c r="B112" s="488">
        <v>415</v>
      </c>
      <c r="C112" s="488">
        <v>415</v>
      </c>
      <c r="D112" s="294" t="s">
        <v>415</v>
      </c>
      <c r="E112" s="295">
        <v>14607</v>
      </c>
      <c r="F112" s="296">
        <v>1667</v>
      </c>
      <c r="G112" s="297">
        <v>116900</v>
      </c>
      <c r="H112" s="298">
        <f t="shared" si="1"/>
        <v>122745</v>
      </c>
    </row>
    <row r="113" spans="1:8" x14ac:dyDescent="0.2">
      <c r="A113" s="293" t="s">
        <v>466</v>
      </c>
      <c r="B113" s="488">
        <v>241</v>
      </c>
      <c r="C113" s="488">
        <v>241</v>
      </c>
      <c r="D113" s="294" t="s">
        <v>348</v>
      </c>
      <c r="E113" s="295">
        <v>14607</v>
      </c>
      <c r="F113" s="296">
        <v>6600</v>
      </c>
      <c r="G113" s="297">
        <v>166300</v>
      </c>
      <c r="H113" s="298">
        <f t="shared" si="1"/>
        <v>174615</v>
      </c>
    </row>
    <row r="114" spans="1:8" x14ac:dyDescent="0.2">
      <c r="A114" s="293" t="s">
        <v>467</v>
      </c>
      <c r="B114" s="488">
        <v>182</v>
      </c>
      <c r="C114" s="488">
        <v>186</v>
      </c>
      <c r="D114" s="294" t="s">
        <v>352</v>
      </c>
      <c r="E114" s="295">
        <v>14607</v>
      </c>
      <c r="F114" s="296">
        <v>6336</v>
      </c>
      <c r="G114" s="297">
        <v>206700</v>
      </c>
      <c r="H114" s="298">
        <f t="shared" si="1"/>
        <v>217035</v>
      </c>
    </row>
    <row r="115" spans="1:8" x14ac:dyDescent="0.2">
      <c r="A115" s="293" t="s">
        <v>364</v>
      </c>
      <c r="B115" s="488">
        <v>135</v>
      </c>
      <c r="C115" s="488">
        <v>135</v>
      </c>
      <c r="D115" s="294" t="s">
        <v>332</v>
      </c>
      <c r="E115" s="295">
        <v>14605</v>
      </c>
      <c r="F115" s="296">
        <v>1899</v>
      </c>
      <c r="G115" s="297">
        <v>46600</v>
      </c>
      <c r="H115" s="298">
        <f t="shared" si="1"/>
        <v>48930</v>
      </c>
    </row>
    <row r="116" spans="1:8" x14ac:dyDescent="0.2">
      <c r="A116" s="293" t="s">
        <v>468</v>
      </c>
      <c r="B116" s="488">
        <v>126</v>
      </c>
      <c r="C116" s="488">
        <v>126</v>
      </c>
      <c r="D116" s="294" t="s">
        <v>354</v>
      </c>
      <c r="E116" s="295">
        <v>14607</v>
      </c>
      <c r="F116" s="296">
        <v>13921</v>
      </c>
      <c r="G116" s="297">
        <v>72500</v>
      </c>
      <c r="H116" s="298">
        <f t="shared" si="1"/>
        <v>76125</v>
      </c>
    </row>
    <row r="117" spans="1:8" x14ac:dyDescent="0.2">
      <c r="A117" s="293" t="s">
        <v>469</v>
      </c>
      <c r="B117" s="488">
        <v>268</v>
      </c>
      <c r="C117" s="488">
        <v>268</v>
      </c>
      <c r="D117" s="294" t="s">
        <v>330</v>
      </c>
      <c r="E117" s="295">
        <v>14607</v>
      </c>
      <c r="F117" s="296">
        <v>23956</v>
      </c>
      <c r="G117" s="297">
        <v>680000</v>
      </c>
      <c r="H117" s="298">
        <f t="shared" si="1"/>
        <v>714000</v>
      </c>
    </row>
    <row r="118" spans="1:8" x14ac:dyDescent="0.2">
      <c r="A118" s="293" t="s">
        <v>470</v>
      </c>
      <c r="B118" s="488">
        <v>2</v>
      </c>
      <c r="C118" s="488">
        <v>2.5</v>
      </c>
      <c r="D118" s="294" t="s">
        <v>471</v>
      </c>
      <c r="E118" s="295">
        <v>14607</v>
      </c>
      <c r="F118" s="296">
        <v>4658</v>
      </c>
      <c r="G118" s="297">
        <v>27600</v>
      </c>
      <c r="H118" s="298">
        <f t="shared" si="1"/>
        <v>28980</v>
      </c>
    </row>
    <row r="119" spans="1:8" x14ac:dyDescent="0.2">
      <c r="A119" s="293" t="s">
        <v>472</v>
      </c>
      <c r="B119" s="488">
        <v>633</v>
      </c>
      <c r="C119" s="488">
        <v>639</v>
      </c>
      <c r="D119" s="294" t="s">
        <v>394</v>
      </c>
      <c r="E119" s="295">
        <v>14607</v>
      </c>
      <c r="F119" s="296">
        <v>7990</v>
      </c>
      <c r="G119" s="297">
        <v>160000</v>
      </c>
      <c r="H119" s="298">
        <f t="shared" si="1"/>
        <v>168000</v>
      </c>
    </row>
    <row r="120" spans="1:8" x14ac:dyDescent="0.2">
      <c r="A120" s="293" t="s">
        <v>473</v>
      </c>
      <c r="B120" s="488">
        <v>370</v>
      </c>
      <c r="C120" s="488">
        <v>370.5</v>
      </c>
      <c r="D120" s="294" t="s">
        <v>330</v>
      </c>
      <c r="E120" s="295">
        <v>14607</v>
      </c>
      <c r="F120" s="296">
        <v>4793</v>
      </c>
      <c r="G120" s="297">
        <v>100000</v>
      </c>
      <c r="H120" s="298">
        <f t="shared" si="1"/>
        <v>105000</v>
      </c>
    </row>
    <row r="121" spans="1:8" x14ac:dyDescent="0.2">
      <c r="A121" s="293" t="s">
        <v>474</v>
      </c>
      <c r="B121" s="488">
        <v>226</v>
      </c>
      <c r="C121" s="488">
        <v>228</v>
      </c>
      <c r="D121" s="294" t="s">
        <v>352</v>
      </c>
      <c r="E121" s="295">
        <v>14607</v>
      </c>
      <c r="F121" s="296">
        <v>4469</v>
      </c>
      <c r="G121" s="297">
        <v>377700</v>
      </c>
      <c r="H121" s="298">
        <f t="shared" si="1"/>
        <v>396585</v>
      </c>
    </row>
    <row r="122" spans="1:8" x14ac:dyDescent="0.2">
      <c r="A122" s="293" t="s">
        <v>404</v>
      </c>
      <c r="B122" s="488">
        <v>29</v>
      </c>
      <c r="C122" s="488">
        <v>29</v>
      </c>
      <c r="D122" s="294" t="s">
        <v>475</v>
      </c>
      <c r="E122" s="295">
        <v>14607</v>
      </c>
      <c r="F122" s="296">
        <v>2270</v>
      </c>
      <c r="G122" s="297">
        <v>9500</v>
      </c>
      <c r="H122" s="298">
        <f t="shared" si="1"/>
        <v>9975</v>
      </c>
    </row>
    <row r="123" spans="1:8" x14ac:dyDescent="0.2">
      <c r="A123" s="293" t="s">
        <v>476</v>
      </c>
      <c r="B123" s="488">
        <v>200</v>
      </c>
      <c r="C123" s="488">
        <v>200</v>
      </c>
      <c r="D123" s="294" t="s">
        <v>420</v>
      </c>
      <c r="E123" s="295">
        <v>14604</v>
      </c>
      <c r="F123" s="296">
        <v>102198</v>
      </c>
      <c r="G123" s="297">
        <v>3639700</v>
      </c>
      <c r="H123" s="298">
        <f t="shared" si="1"/>
        <v>3821685</v>
      </c>
    </row>
    <row r="124" spans="1:8" x14ac:dyDescent="0.2">
      <c r="A124" s="293" t="s">
        <v>477</v>
      </c>
      <c r="B124" s="488">
        <v>320</v>
      </c>
      <c r="C124" s="488">
        <v>320</v>
      </c>
      <c r="D124" s="294" t="s">
        <v>420</v>
      </c>
      <c r="E124" s="295">
        <v>14604</v>
      </c>
      <c r="F124" s="296">
        <v>5922</v>
      </c>
      <c r="G124" s="297">
        <v>185000</v>
      </c>
      <c r="H124" s="298">
        <f t="shared" si="1"/>
        <v>194250</v>
      </c>
    </row>
    <row r="125" spans="1:8" x14ac:dyDescent="0.2">
      <c r="A125" s="293" t="s">
        <v>392</v>
      </c>
      <c r="B125" s="488">
        <v>63</v>
      </c>
      <c r="C125" s="488">
        <v>63</v>
      </c>
      <c r="D125" s="294" t="s">
        <v>475</v>
      </c>
      <c r="E125" s="295">
        <v>14607</v>
      </c>
      <c r="F125" s="296">
        <v>4357</v>
      </c>
      <c r="G125" s="297">
        <v>21500</v>
      </c>
      <c r="H125" s="298">
        <f t="shared" si="1"/>
        <v>22575</v>
      </c>
    </row>
    <row r="126" spans="1:8" x14ac:dyDescent="0.2">
      <c r="A126" s="293" t="s">
        <v>478</v>
      </c>
      <c r="B126" s="488">
        <v>261</v>
      </c>
      <c r="C126" s="488">
        <v>261</v>
      </c>
      <c r="D126" s="294" t="s">
        <v>330</v>
      </c>
      <c r="E126" s="295">
        <v>14607</v>
      </c>
      <c r="F126" s="296">
        <v>14760</v>
      </c>
      <c r="G126" s="297">
        <v>219000</v>
      </c>
      <c r="H126" s="298">
        <f t="shared" si="1"/>
        <v>229950</v>
      </c>
    </row>
    <row r="127" spans="1:8" x14ac:dyDescent="0.2">
      <c r="A127" s="293" t="s">
        <v>479</v>
      </c>
      <c r="B127" s="488">
        <v>32</v>
      </c>
      <c r="C127" s="488">
        <v>32</v>
      </c>
      <c r="D127" s="294" t="s">
        <v>443</v>
      </c>
      <c r="E127" s="295">
        <v>14607</v>
      </c>
      <c r="F127" s="296">
        <v>2985</v>
      </c>
      <c r="G127" s="297">
        <v>125000</v>
      </c>
      <c r="H127" s="298">
        <f t="shared" si="1"/>
        <v>131250</v>
      </c>
    </row>
    <row r="128" spans="1:8" x14ac:dyDescent="0.2">
      <c r="A128" s="293" t="s">
        <v>480</v>
      </c>
      <c r="B128" s="488">
        <v>439</v>
      </c>
      <c r="C128" s="488">
        <v>439</v>
      </c>
      <c r="D128" s="294" t="s">
        <v>415</v>
      </c>
      <c r="E128" s="295">
        <v>14607</v>
      </c>
      <c r="F128" s="296">
        <v>1677</v>
      </c>
      <c r="G128" s="297">
        <v>4000</v>
      </c>
      <c r="H128" s="298">
        <f t="shared" si="1"/>
        <v>4200</v>
      </c>
    </row>
    <row r="129" spans="1:8" x14ac:dyDescent="0.2">
      <c r="A129" s="293" t="s">
        <v>481</v>
      </c>
      <c r="B129" s="488">
        <v>5</v>
      </c>
      <c r="C129" s="488">
        <v>5</v>
      </c>
      <c r="D129" s="294" t="s">
        <v>452</v>
      </c>
      <c r="E129" s="295">
        <v>14607</v>
      </c>
      <c r="F129" s="296">
        <v>3640</v>
      </c>
      <c r="G129" s="297">
        <v>10600</v>
      </c>
      <c r="H129" s="298">
        <f t="shared" si="1"/>
        <v>11130</v>
      </c>
    </row>
    <row r="130" spans="1:8" x14ac:dyDescent="0.2">
      <c r="A130" s="293" t="s">
        <v>482</v>
      </c>
      <c r="B130" s="488">
        <v>67</v>
      </c>
      <c r="C130" s="488">
        <v>71</v>
      </c>
      <c r="D130" s="294" t="s">
        <v>339</v>
      </c>
      <c r="E130" s="295">
        <v>14607</v>
      </c>
      <c r="F130" s="296">
        <v>11059</v>
      </c>
      <c r="G130" s="297">
        <v>248200</v>
      </c>
      <c r="H130" s="298">
        <f t="shared" si="1"/>
        <v>260610</v>
      </c>
    </row>
    <row r="131" spans="1:8" x14ac:dyDescent="0.2">
      <c r="A131" s="293" t="s">
        <v>453</v>
      </c>
      <c r="B131" s="488">
        <v>47</v>
      </c>
      <c r="C131" s="488">
        <v>47</v>
      </c>
      <c r="D131" s="294" t="s">
        <v>337</v>
      </c>
      <c r="E131" s="295">
        <v>14607</v>
      </c>
      <c r="F131" s="296">
        <v>1432</v>
      </c>
      <c r="G131" s="297">
        <v>65000</v>
      </c>
      <c r="H131" s="298">
        <f t="shared" si="1"/>
        <v>68250</v>
      </c>
    </row>
    <row r="132" spans="1:8" x14ac:dyDescent="0.2">
      <c r="A132" s="299" t="s">
        <v>434</v>
      </c>
      <c r="B132" s="489">
        <v>96</v>
      </c>
      <c r="C132" s="489">
        <v>96</v>
      </c>
      <c r="D132" s="300" t="s">
        <v>354</v>
      </c>
      <c r="E132" s="301">
        <v>14607</v>
      </c>
      <c r="F132" s="302">
        <v>1872</v>
      </c>
      <c r="G132" s="303">
        <v>240000</v>
      </c>
      <c r="H132" s="304">
        <f t="shared" si="1"/>
        <v>252000</v>
      </c>
    </row>
    <row r="133" spans="1:8" x14ac:dyDescent="0.2">
      <c r="A133" s="293" t="s">
        <v>336</v>
      </c>
      <c r="B133" s="488">
        <v>59</v>
      </c>
      <c r="C133" s="488">
        <v>59</v>
      </c>
      <c r="D133" s="294" t="s">
        <v>339</v>
      </c>
      <c r="E133" s="295">
        <v>14607</v>
      </c>
      <c r="F133" s="296">
        <v>6708</v>
      </c>
      <c r="G133" s="297">
        <v>174400</v>
      </c>
      <c r="H133" s="298">
        <f t="shared" si="1"/>
        <v>183120</v>
      </c>
    </row>
    <row r="134" spans="1:8" x14ac:dyDescent="0.2">
      <c r="A134" s="293" t="s">
        <v>483</v>
      </c>
      <c r="B134" s="488">
        <v>77</v>
      </c>
      <c r="C134" s="488">
        <v>79</v>
      </c>
      <c r="D134" s="294" t="s">
        <v>339</v>
      </c>
      <c r="E134" s="295">
        <v>14607</v>
      </c>
      <c r="F134" s="296">
        <v>5544</v>
      </c>
      <c r="G134" s="297">
        <v>155800</v>
      </c>
      <c r="H134" s="298">
        <f t="shared" si="1"/>
        <v>163590</v>
      </c>
    </row>
    <row r="135" spans="1:8" x14ac:dyDescent="0.2">
      <c r="A135" s="293" t="s">
        <v>484</v>
      </c>
      <c r="B135" s="488">
        <v>112</v>
      </c>
      <c r="C135" s="488">
        <v>114</v>
      </c>
      <c r="D135" s="294" t="s">
        <v>368</v>
      </c>
      <c r="E135" s="295">
        <v>14607</v>
      </c>
      <c r="F135" s="296">
        <v>2575</v>
      </c>
      <c r="G135" s="297">
        <v>140000</v>
      </c>
      <c r="H135" s="298">
        <f t="shared" ref="H135:H198" si="2">G135*1.05</f>
        <v>147000</v>
      </c>
    </row>
    <row r="136" spans="1:8" x14ac:dyDescent="0.2">
      <c r="A136" s="293" t="s">
        <v>485</v>
      </c>
      <c r="B136" s="488">
        <v>395</v>
      </c>
      <c r="C136" s="488">
        <v>395</v>
      </c>
      <c r="D136" s="294" t="s">
        <v>420</v>
      </c>
      <c r="E136" s="295">
        <v>14607</v>
      </c>
      <c r="F136" s="296">
        <v>1950</v>
      </c>
      <c r="G136" s="297">
        <v>11000</v>
      </c>
      <c r="H136" s="298">
        <f t="shared" si="2"/>
        <v>11550</v>
      </c>
    </row>
    <row r="137" spans="1:8" x14ac:dyDescent="0.2">
      <c r="A137" s="293" t="s">
        <v>486</v>
      </c>
      <c r="B137" s="488">
        <v>225</v>
      </c>
      <c r="C137" s="488">
        <v>225</v>
      </c>
      <c r="D137" s="294" t="s">
        <v>399</v>
      </c>
      <c r="E137" s="295">
        <v>14607</v>
      </c>
      <c r="F137" s="296">
        <v>49746</v>
      </c>
      <c r="G137" s="297">
        <v>18900000</v>
      </c>
      <c r="H137" s="298">
        <f t="shared" si="2"/>
        <v>19845000</v>
      </c>
    </row>
    <row r="138" spans="1:8" x14ac:dyDescent="0.2">
      <c r="A138" s="293" t="s">
        <v>487</v>
      </c>
      <c r="B138" s="488">
        <v>272</v>
      </c>
      <c r="C138" s="488">
        <v>272</v>
      </c>
      <c r="D138" s="294" t="s">
        <v>330</v>
      </c>
      <c r="E138" s="295">
        <v>14607</v>
      </c>
      <c r="F138" s="296">
        <v>9326</v>
      </c>
      <c r="G138" s="297">
        <v>162000</v>
      </c>
      <c r="H138" s="298">
        <f t="shared" si="2"/>
        <v>170100</v>
      </c>
    </row>
    <row r="139" spans="1:8" x14ac:dyDescent="0.2">
      <c r="A139" s="293" t="s">
        <v>485</v>
      </c>
      <c r="B139" s="488">
        <v>395</v>
      </c>
      <c r="C139" s="488">
        <v>395</v>
      </c>
      <c r="D139" s="294" t="s">
        <v>415</v>
      </c>
      <c r="E139" s="295">
        <v>14607</v>
      </c>
      <c r="F139" s="296">
        <v>3033</v>
      </c>
      <c r="G139" s="297">
        <v>107500</v>
      </c>
      <c r="H139" s="298">
        <f t="shared" si="2"/>
        <v>112875</v>
      </c>
    </row>
    <row r="140" spans="1:8" x14ac:dyDescent="0.2">
      <c r="A140" s="293" t="s">
        <v>488</v>
      </c>
      <c r="B140" s="488">
        <v>16</v>
      </c>
      <c r="C140" s="488">
        <v>16</v>
      </c>
      <c r="D140" s="294" t="s">
        <v>454</v>
      </c>
      <c r="E140" s="295">
        <v>14607</v>
      </c>
      <c r="F140" s="296">
        <v>28897</v>
      </c>
      <c r="G140" s="297">
        <v>317800</v>
      </c>
      <c r="H140" s="298">
        <f t="shared" si="2"/>
        <v>333690</v>
      </c>
    </row>
    <row r="141" spans="1:8" x14ac:dyDescent="0.2">
      <c r="A141" s="293" t="s">
        <v>489</v>
      </c>
      <c r="B141" s="488">
        <v>68</v>
      </c>
      <c r="C141" s="488">
        <v>68</v>
      </c>
      <c r="D141" s="294" t="s">
        <v>354</v>
      </c>
      <c r="E141" s="295">
        <v>14607</v>
      </c>
      <c r="F141" s="296">
        <v>2925</v>
      </c>
      <c r="G141" s="297">
        <v>140900</v>
      </c>
      <c r="H141" s="298">
        <f t="shared" si="2"/>
        <v>147945</v>
      </c>
    </row>
    <row r="142" spans="1:8" x14ac:dyDescent="0.2">
      <c r="A142" s="293" t="s">
        <v>449</v>
      </c>
      <c r="B142" s="488">
        <v>83</v>
      </c>
      <c r="C142" s="488">
        <v>85</v>
      </c>
      <c r="D142" s="294" t="s">
        <v>348</v>
      </c>
      <c r="E142" s="295">
        <v>14607</v>
      </c>
      <c r="F142" s="296">
        <v>9458</v>
      </c>
      <c r="G142" s="297">
        <v>650000</v>
      </c>
      <c r="H142" s="298">
        <f t="shared" si="2"/>
        <v>682500</v>
      </c>
    </row>
    <row r="143" spans="1:8" x14ac:dyDescent="0.2">
      <c r="A143" s="293" t="s">
        <v>490</v>
      </c>
      <c r="B143" s="488">
        <v>18</v>
      </c>
      <c r="C143" s="488">
        <v>18</v>
      </c>
      <c r="D143" s="294" t="s">
        <v>443</v>
      </c>
      <c r="E143" s="295">
        <v>14607</v>
      </c>
      <c r="F143" s="296">
        <v>3735</v>
      </c>
      <c r="G143" s="297">
        <v>185000</v>
      </c>
      <c r="H143" s="298">
        <f t="shared" si="2"/>
        <v>194250</v>
      </c>
    </row>
    <row r="144" spans="1:8" x14ac:dyDescent="0.2">
      <c r="A144" s="293" t="s">
        <v>491</v>
      </c>
      <c r="B144" s="488">
        <v>6</v>
      </c>
      <c r="C144" s="488">
        <v>6.5</v>
      </c>
      <c r="D144" s="294" t="s">
        <v>471</v>
      </c>
      <c r="E144" s="295">
        <v>14607</v>
      </c>
      <c r="F144" s="296">
        <v>3886</v>
      </c>
      <c r="G144" s="297">
        <v>100000</v>
      </c>
      <c r="H144" s="298">
        <f t="shared" si="2"/>
        <v>105000</v>
      </c>
    </row>
    <row r="145" spans="1:8" x14ac:dyDescent="0.2">
      <c r="A145" s="293" t="s">
        <v>423</v>
      </c>
      <c r="B145" s="488">
        <v>24</v>
      </c>
      <c r="C145" s="488">
        <v>24</v>
      </c>
      <c r="D145" s="294" t="s">
        <v>460</v>
      </c>
      <c r="E145" s="295">
        <v>14607</v>
      </c>
      <c r="F145" s="296">
        <v>5183</v>
      </c>
      <c r="G145" s="297">
        <v>184000</v>
      </c>
      <c r="H145" s="298">
        <f t="shared" si="2"/>
        <v>193200</v>
      </c>
    </row>
    <row r="146" spans="1:8" x14ac:dyDescent="0.2">
      <c r="A146" s="293" t="s">
        <v>492</v>
      </c>
      <c r="B146" s="488">
        <v>315</v>
      </c>
      <c r="C146" s="488">
        <v>315</v>
      </c>
      <c r="D146" s="294" t="s">
        <v>352</v>
      </c>
      <c r="E146" s="295">
        <v>14607</v>
      </c>
      <c r="F146" s="296">
        <v>21770</v>
      </c>
      <c r="G146" s="297">
        <v>546400</v>
      </c>
      <c r="H146" s="298">
        <f t="shared" si="2"/>
        <v>573720</v>
      </c>
    </row>
    <row r="147" spans="1:8" x14ac:dyDescent="0.2">
      <c r="A147" s="293" t="s">
        <v>374</v>
      </c>
      <c r="B147" s="488">
        <v>207</v>
      </c>
      <c r="C147" s="488">
        <v>207</v>
      </c>
      <c r="D147" s="294" t="s">
        <v>377</v>
      </c>
      <c r="E147" s="295">
        <v>14607</v>
      </c>
      <c r="F147" s="296">
        <v>5280</v>
      </c>
      <c r="G147" s="297">
        <v>504000</v>
      </c>
      <c r="H147" s="298">
        <f t="shared" si="2"/>
        <v>529200</v>
      </c>
    </row>
    <row r="148" spans="1:8" x14ac:dyDescent="0.2">
      <c r="A148" s="293" t="s">
        <v>493</v>
      </c>
      <c r="B148" s="488">
        <v>748</v>
      </c>
      <c r="C148" s="488">
        <v>748</v>
      </c>
      <c r="D148" s="294" t="s">
        <v>328</v>
      </c>
      <c r="E148" s="295">
        <v>14605</v>
      </c>
      <c r="F148" s="296">
        <v>12000</v>
      </c>
      <c r="G148" s="297">
        <v>289000</v>
      </c>
      <c r="H148" s="298">
        <f t="shared" si="2"/>
        <v>303450</v>
      </c>
    </row>
    <row r="149" spans="1:8" x14ac:dyDescent="0.2">
      <c r="A149" s="293" t="s">
        <v>494</v>
      </c>
      <c r="B149" s="488">
        <v>769</v>
      </c>
      <c r="C149" s="488">
        <v>769</v>
      </c>
      <c r="D149" s="294" t="s">
        <v>328</v>
      </c>
      <c r="E149" s="295">
        <v>14605</v>
      </c>
      <c r="F149" s="296">
        <v>17067</v>
      </c>
      <c r="G149" s="297">
        <v>280800</v>
      </c>
      <c r="H149" s="298">
        <f t="shared" si="2"/>
        <v>294840</v>
      </c>
    </row>
    <row r="150" spans="1:8" x14ac:dyDescent="0.2">
      <c r="A150" s="293" t="s">
        <v>406</v>
      </c>
      <c r="B150" s="488">
        <v>11</v>
      </c>
      <c r="C150" s="488">
        <v>11</v>
      </c>
      <c r="D150" s="294" t="s">
        <v>495</v>
      </c>
      <c r="E150" s="295">
        <v>14605</v>
      </c>
      <c r="F150" s="296">
        <v>2961</v>
      </c>
      <c r="G150" s="297">
        <v>264100</v>
      </c>
      <c r="H150" s="298">
        <f t="shared" si="2"/>
        <v>277305</v>
      </c>
    </row>
    <row r="151" spans="1:8" x14ac:dyDescent="0.2">
      <c r="A151" s="293" t="s">
        <v>496</v>
      </c>
      <c r="B151" s="488">
        <v>100</v>
      </c>
      <c r="C151" s="488">
        <v>100</v>
      </c>
      <c r="D151" s="294" t="s">
        <v>363</v>
      </c>
      <c r="E151" s="295">
        <v>14605</v>
      </c>
      <c r="F151" s="296">
        <v>48228</v>
      </c>
      <c r="G151" s="297">
        <v>13000000</v>
      </c>
      <c r="H151" s="298">
        <f t="shared" si="2"/>
        <v>13650000</v>
      </c>
    </row>
    <row r="152" spans="1:8" x14ac:dyDescent="0.2">
      <c r="A152" s="293" t="s">
        <v>497</v>
      </c>
      <c r="B152" s="488">
        <v>373</v>
      </c>
      <c r="C152" s="488">
        <v>373</v>
      </c>
      <c r="D152" s="294" t="s">
        <v>330</v>
      </c>
      <c r="E152" s="295">
        <v>14607</v>
      </c>
      <c r="F152" s="296">
        <v>5230</v>
      </c>
      <c r="G152" s="297">
        <v>96000</v>
      </c>
      <c r="H152" s="298">
        <f t="shared" si="2"/>
        <v>100800</v>
      </c>
    </row>
    <row r="153" spans="1:8" x14ac:dyDescent="0.2">
      <c r="A153" s="293" t="s">
        <v>403</v>
      </c>
      <c r="B153" s="488">
        <v>17</v>
      </c>
      <c r="C153" s="488">
        <v>17</v>
      </c>
      <c r="D153" s="294" t="s">
        <v>495</v>
      </c>
      <c r="E153" s="295">
        <v>14605</v>
      </c>
      <c r="F153" s="296">
        <v>2494</v>
      </c>
      <c r="G153" s="297">
        <v>339900</v>
      </c>
      <c r="H153" s="298">
        <f t="shared" si="2"/>
        <v>356895</v>
      </c>
    </row>
    <row r="154" spans="1:8" x14ac:dyDescent="0.2">
      <c r="A154" s="293" t="s">
        <v>498</v>
      </c>
      <c r="B154" s="488">
        <v>22</v>
      </c>
      <c r="C154" s="488">
        <v>22</v>
      </c>
      <c r="D154" s="294" t="s">
        <v>499</v>
      </c>
      <c r="E154" s="295">
        <v>14607</v>
      </c>
      <c r="F154" s="296">
        <v>10043</v>
      </c>
      <c r="G154" s="297">
        <v>115000</v>
      </c>
      <c r="H154" s="298">
        <f t="shared" si="2"/>
        <v>120750</v>
      </c>
    </row>
    <row r="155" spans="1:8" x14ac:dyDescent="0.2">
      <c r="A155" s="293" t="s">
        <v>500</v>
      </c>
      <c r="B155" s="488">
        <v>161</v>
      </c>
      <c r="C155" s="488">
        <v>161</v>
      </c>
      <c r="D155" s="294" t="s">
        <v>352</v>
      </c>
      <c r="E155" s="295">
        <v>14607</v>
      </c>
      <c r="F155" s="296">
        <v>2759</v>
      </c>
      <c r="G155" s="297">
        <v>11000</v>
      </c>
      <c r="H155" s="298">
        <f t="shared" si="2"/>
        <v>11550</v>
      </c>
    </row>
    <row r="156" spans="1:8" x14ac:dyDescent="0.2">
      <c r="A156" s="293" t="s">
        <v>501</v>
      </c>
      <c r="B156" s="488">
        <v>62</v>
      </c>
      <c r="C156" s="488">
        <v>62</v>
      </c>
      <c r="D156" s="294" t="s">
        <v>337</v>
      </c>
      <c r="E156" s="295">
        <v>14607</v>
      </c>
      <c r="F156" s="296">
        <v>5038</v>
      </c>
      <c r="G156" s="297">
        <v>125000</v>
      </c>
      <c r="H156" s="298">
        <f t="shared" si="2"/>
        <v>131250</v>
      </c>
    </row>
    <row r="157" spans="1:8" x14ac:dyDescent="0.2">
      <c r="A157" s="293" t="s">
        <v>502</v>
      </c>
      <c r="B157" s="488">
        <v>219</v>
      </c>
      <c r="C157" s="488">
        <v>219</v>
      </c>
      <c r="D157" s="294" t="s">
        <v>348</v>
      </c>
      <c r="E157" s="295">
        <v>14607</v>
      </c>
      <c r="F157" s="296">
        <v>5021</v>
      </c>
      <c r="G157" s="297">
        <v>120800</v>
      </c>
      <c r="H157" s="298">
        <f t="shared" si="2"/>
        <v>126840</v>
      </c>
    </row>
    <row r="158" spans="1:8" x14ac:dyDescent="0.2">
      <c r="A158" s="293" t="s">
        <v>503</v>
      </c>
      <c r="B158" s="488">
        <v>100</v>
      </c>
      <c r="C158" s="488">
        <v>112</v>
      </c>
      <c r="D158" s="294" t="s">
        <v>454</v>
      </c>
      <c r="E158" s="295">
        <v>14607</v>
      </c>
      <c r="F158" s="296">
        <v>14129</v>
      </c>
      <c r="G158" s="297">
        <v>268700</v>
      </c>
      <c r="H158" s="298">
        <f t="shared" si="2"/>
        <v>282135</v>
      </c>
    </row>
    <row r="159" spans="1:8" x14ac:dyDescent="0.2">
      <c r="A159" s="293" t="s">
        <v>504</v>
      </c>
      <c r="B159" s="488">
        <v>147</v>
      </c>
      <c r="C159" s="488">
        <v>149.5</v>
      </c>
      <c r="D159" s="294" t="s">
        <v>352</v>
      </c>
      <c r="E159" s="295">
        <v>14607</v>
      </c>
      <c r="F159" s="296">
        <v>2535</v>
      </c>
      <c r="G159" s="297">
        <v>137200</v>
      </c>
      <c r="H159" s="298">
        <f t="shared" si="2"/>
        <v>144060</v>
      </c>
    </row>
    <row r="160" spans="1:8" x14ac:dyDescent="0.2">
      <c r="A160" s="293" t="s">
        <v>505</v>
      </c>
      <c r="B160" s="488">
        <v>302</v>
      </c>
      <c r="C160" s="488">
        <v>316</v>
      </c>
      <c r="D160" s="294" t="s">
        <v>420</v>
      </c>
      <c r="E160" s="295">
        <v>14604</v>
      </c>
      <c r="F160" s="296">
        <v>16340</v>
      </c>
      <c r="G160" s="297">
        <v>154000</v>
      </c>
      <c r="H160" s="298">
        <f t="shared" si="2"/>
        <v>161700</v>
      </c>
    </row>
    <row r="161" spans="1:8" x14ac:dyDescent="0.2">
      <c r="A161" s="293" t="s">
        <v>392</v>
      </c>
      <c r="B161" s="488">
        <v>63</v>
      </c>
      <c r="C161" s="488">
        <v>63</v>
      </c>
      <c r="D161" s="294" t="s">
        <v>455</v>
      </c>
      <c r="E161" s="295">
        <v>14607</v>
      </c>
      <c r="F161" s="296">
        <v>2941</v>
      </c>
      <c r="G161" s="297">
        <v>12000</v>
      </c>
      <c r="H161" s="298">
        <f t="shared" si="2"/>
        <v>12600</v>
      </c>
    </row>
    <row r="162" spans="1:8" x14ac:dyDescent="0.2">
      <c r="A162" s="293" t="s">
        <v>506</v>
      </c>
      <c r="B162" s="488">
        <v>397</v>
      </c>
      <c r="C162" s="488">
        <v>397</v>
      </c>
      <c r="D162" s="294" t="s">
        <v>415</v>
      </c>
      <c r="E162" s="295">
        <v>14607</v>
      </c>
      <c r="F162" s="296">
        <v>1667</v>
      </c>
      <c r="G162" s="297">
        <v>101600</v>
      </c>
      <c r="H162" s="298">
        <f t="shared" si="2"/>
        <v>106680</v>
      </c>
    </row>
    <row r="163" spans="1:8" x14ac:dyDescent="0.2">
      <c r="A163" s="293" t="s">
        <v>507</v>
      </c>
      <c r="B163" s="488">
        <v>407</v>
      </c>
      <c r="C163" s="488">
        <v>407</v>
      </c>
      <c r="D163" s="294" t="s">
        <v>415</v>
      </c>
      <c r="E163" s="295">
        <v>14607</v>
      </c>
      <c r="F163" s="296">
        <v>3033</v>
      </c>
      <c r="G163" s="297">
        <v>107500</v>
      </c>
      <c r="H163" s="298">
        <f t="shared" si="2"/>
        <v>112875</v>
      </c>
    </row>
    <row r="164" spans="1:8" x14ac:dyDescent="0.2">
      <c r="A164" s="293" t="s">
        <v>508</v>
      </c>
      <c r="B164" s="488">
        <v>23</v>
      </c>
      <c r="C164" s="488">
        <v>23</v>
      </c>
      <c r="D164" s="294" t="s">
        <v>464</v>
      </c>
      <c r="E164" s="295">
        <v>14607</v>
      </c>
      <c r="F164" s="296">
        <v>3847</v>
      </c>
      <c r="G164" s="297">
        <v>60000</v>
      </c>
      <c r="H164" s="298">
        <f t="shared" si="2"/>
        <v>63000</v>
      </c>
    </row>
    <row r="165" spans="1:8" x14ac:dyDescent="0.2">
      <c r="A165" s="293" t="s">
        <v>509</v>
      </c>
      <c r="B165" s="488">
        <v>88</v>
      </c>
      <c r="C165" s="488">
        <v>88</v>
      </c>
      <c r="D165" s="294" t="s">
        <v>361</v>
      </c>
      <c r="E165" s="295">
        <v>14607</v>
      </c>
      <c r="F165" s="296">
        <v>5945</v>
      </c>
      <c r="G165" s="297">
        <v>117900</v>
      </c>
      <c r="H165" s="298">
        <f t="shared" si="2"/>
        <v>123795</v>
      </c>
    </row>
    <row r="166" spans="1:8" x14ac:dyDescent="0.2">
      <c r="A166" s="293" t="s">
        <v>510</v>
      </c>
      <c r="B166" s="488">
        <v>165</v>
      </c>
      <c r="C166" s="488">
        <v>165</v>
      </c>
      <c r="D166" s="294" t="s">
        <v>330</v>
      </c>
      <c r="E166" s="295">
        <v>14607</v>
      </c>
      <c r="F166" s="296">
        <v>1695</v>
      </c>
      <c r="G166" s="297">
        <v>2700</v>
      </c>
      <c r="H166" s="298">
        <f t="shared" si="2"/>
        <v>2835</v>
      </c>
    </row>
    <row r="167" spans="1:8" x14ac:dyDescent="0.2">
      <c r="A167" s="293" t="s">
        <v>511</v>
      </c>
      <c r="B167" s="488">
        <v>3</v>
      </c>
      <c r="C167" s="488">
        <v>5</v>
      </c>
      <c r="D167" s="294" t="s">
        <v>495</v>
      </c>
      <c r="E167" s="295">
        <v>14605</v>
      </c>
      <c r="F167" s="296">
        <v>7407</v>
      </c>
      <c r="G167" s="297">
        <v>225800</v>
      </c>
      <c r="H167" s="298">
        <f t="shared" si="2"/>
        <v>237090</v>
      </c>
    </row>
    <row r="168" spans="1:8" x14ac:dyDescent="0.2">
      <c r="A168" s="293" t="s">
        <v>353</v>
      </c>
      <c r="B168" s="488">
        <v>86</v>
      </c>
      <c r="C168" s="488">
        <v>86</v>
      </c>
      <c r="D168" s="294" t="s">
        <v>361</v>
      </c>
      <c r="E168" s="295">
        <v>14607</v>
      </c>
      <c r="F168" s="296">
        <v>4324</v>
      </c>
      <c r="G168" s="297">
        <v>70100</v>
      </c>
      <c r="H168" s="298">
        <f t="shared" si="2"/>
        <v>73605</v>
      </c>
    </row>
    <row r="169" spans="1:8" x14ac:dyDescent="0.2">
      <c r="A169" s="293" t="s">
        <v>376</v>
      </c>
      <c r="B169" s="488">
        <v>95</v>
      </c>
      <c r="C169" s="488">
        <v>95</v>
      </c>
      <c r="D169" s="294" t="s">
        <v>361</v>
      </c>
      <c r="E169" s="295">
        <v>14607</v>
      </c>
      <c r="F169" s="296">
        <v>2697</v>
      </c>
      <c r="G169" s="297">
        <v>63000</v>
      </c>
      <c r="H169" s="298">
        <f t="shared" si="2"/>
        <v>66150</v>
      </c>
    </row>
    <row r="170" spans="1:8" x14ac:dyDescent="0.2">
      <c r="A170" s="293" t="s">
        <v>512</v>
      </c>
      <c r="B170" s="488">
        <v>13</v>
      </c>
      <c r="C170" s="488">
        <v>13</v>
      </c>
      <c r="D170" s="294" t="s">
        <v>334</v>
      </c>
      <c r="E170" s="295">
        <v>14607</v>
      </c>
      <c r="F170" s="296">
        <v>58088</v>
      </c>
      <c r="G170" s="297">
        <v>318000</v>
      </c>
      <c r="H170" s="298">
        <f t="shared" si="2"/>
        <v>333900</v>
      </c>
    </row>
    <row r="171" spans="1:8" x14ac:dyDescent="0.2">
      <c r="A171" s="293" t="s">
        <v>513</v>
      </c>
      <c r="B171" s="488">
        <v>301</v>
      </c>
      <c r="C171" s="488">
        <v>301</v>
      </c>
      <c r="D171" s="294" t="s">
        <v>348</v>
      </c>
      <c r="E171" s="295">
        <v>14607</v>
      </c>
      <c r="F171" s="296">
        <v>9075</v>
      </c>
      <c r="G171" s="297">
        <v>247500</v>
      </c>
      <c r="H171" s="298">
        <f t="shared" si="2"/>
        <v>259875</v>
      </c>
    </row>
    <row r="172" spans="1:8" x14ac:dyDescent="0.2">
      <c r="A172" s="293" t="s">
        <v>514</v>
      </c>
      <c r="B172" s="488">
        <v>168</v>
      </c>
      <c r="C172" s="488">
        <v>168</v>
      </c>
      <c r="D172" s="294" t="s">
        <v>363</v>
      </c>
      <c r="E172" s="295">
        <v>14605</v>
      </c>
      <c r="F172" s="296">
        <v>2753</v>
      </c>
      <c r="G172" s="297">
        <v>160000</v>
      </c>
      <c r="H172" s="298">
        <f t="shared" si="2"/>
        <v>168000</v>
      </c>
    </row>
    <row r="173" spans="1:8" x14ac:dyDescent="0.2">
      <c r="A173" s="293" t="s">
        <v>515</v>
      </c>
      <c r="B173" s="488">
        <v>372</v>
      </c>
      <c r="C173" s="488">
        <v>372.5</v>
      </c>
      <c r="D173" s="294" t="s">
        <v>330</v>
      </c>
      <c r="E173" s="295">
        <v>14607</v>
      </c>
      <c r="F173" s="296">
        <v>3960</v>
      </c>
      <c r="G173" s="297">
        <v>93000</v>
      </c>
      <c r="H173" s="298">
        <f t="shared" si="2"/>
        <v>97650</v>
      </c>
    </row>
    <row r="174" spans="1:8" x14ac:dyDescent="0.2">
      <c r="A174" s="293" t="s">
        <v>516</v>
      </c>
      <c r="B174" s="488">
        <v>310</v>
      </c>
      <c r="C174" s="488">
        <v>310</v>
      </c>
      <c r="D174" s="294" t="s">
        <v>332</v>
      </c>
      <c r="E174" s="295">
        <v>14607</v>
      </c>
      <c r="F174" s="296">
        <v>1504</v>
      </c>
      <c r="G174" s="297">
        <v>7500</v>
      </c>
      <c r="H174" s="298">
        <f t="shared" si="2"/>
        <v>7875</v>
      </c>
    </row>
    <row r="175" spans="1:8" x14ac:dyDescent="0.2">
      <c r="A175" s="293" t="s">
        <v>517</v>
      </c>
      <c r="B175" s="488">
        <v>76</v>
      </c>
      <c r="C175" s="488">
        <v>76</v>
      </c>
      <c r="D175" s="294" t="s">
        <v>361</v>
      </c>
      <c r="E175" s="295">
        <v>14607</v>
      </c>
      <c r="F175" s="296">
        <v>3963</v>
      </c>
      <c r="G175" s="297">
        <v>18000</v>
      </c>
      <c r="H175" s="298">
        <f t="shared" si="2"/>
        <v>18900</v>
      </c>
    </row>
    <row r="176" spans="1:8" x14ac:dyDescent="0.2">
      <c r="A176" s="293" t="s">
        <v>518</v>
      </c>
      <c r="B176" s="488">
        <v>78</v>
      </c>
      <c r="C176" s="488">
        <v>78</v>
      </c>
      <c r="D176" s="294" t="s">
        <v>361</v>
      </c>
      <c r="E176" s="295">
        <v>14607</v>
      </c>
      <c r="F176" s="296">
        <v>4009</v>
      </c>
      <c r="G176" s="297">
        <v>105000</v>
      </c>
      <c r="H176" s="298">
        <f t="shared" si="2"/>
        <v>110250</v>
      </c>
    </row>
    <row r="177" spans="1:8" x14ac:dyDescent="0.2">
      <c r="A177" s="293" t="s">
        <v>519</v>
      </c>
      <c r="B177" s="488">
        <v>37</v>
      </c>
      <c r="C177" s="488">
        <v>37</v>
      </c>
      <c r="D177" s="294" t="s">
        <v>475</v>
      </c>
      <c r="E177" s="295">
        <v>14607</v>
      </c>
      <c r="F177" s="296">
        <v>2572</v>
      </c>
      <c r="G177" s="297">
        <v>50000</v>
      </c>
      <c r="H177" s="298">
        <f t="shared" si="2"/>
        <v>52500</v>
      </c>
    </row>
    <row r="178" spans="1:8" x14ac:dyDescent="0.2">
      <c r="A178" s="293" t="s">
        <v>412</v>
      </c>
      <c r="B178" s="488">
        <v>2</v>
      </c>
      <c r="C178" s="488">
        <v>2</v>
      </c>
      <c r="D178" s="294" t="s">
        <v>520</v>
      </c>
      <c r="E178" s="295">
        <v>14604</v>
      </c>
      <c r="F178" s="296">
        <v>2751</v>
      </c>
      <c r="G178" s="297">
        <v>360000</v>
      </c>
      <c r="H178" s="298">
        <f t="shared" si="2"/>
        <v>378000</v>
      </c>
    </row>
    <row r="179" spans="1:8" x14ac:dyDescent="0.2">
      <c r="A179" s="293" t="s">
        <v>521</v>
      </c>
      <c r="B179" s="488">
        <v>250</v>
      </c>
      <c r="C179" s="488">
        <v>254</v>
      </c>
      <c r="D179" s="294" t="s">
        <v>420</v>
      </c>
      <c r="E179" s="295">
        <v>14604</v>
      </c>
      <c r="F179" s="296">
        <v>4800</v>
      </c>
      <c r="G179" s="297">
        <v>276200</v>
      </c>
      <c r="H179" s="298">
        <f t="shared" si="2"/>
        <v>290010</v>
      </c>
    </row>
    <row r="180" spans="1:8" x14ac:dyDescent="0.2">
      <c r="A180" s="293" t="s">
        <v>385</v>
      </c>
      <c r="B180" s="488">
        <v>403</v>
      </c>
      <c r="C180" s="488">
        <v>403</v>
      </c>
      <c r="D180" s="294" t="s">
        <v>415</v>
      </c>
      <c r="E180" s="295">
        <v>14607</v>
      </c>
      <c r="F180" s="296">
        <v>1667</v>
      </c>
      <c r="G180" s="297">
        <v>107600</v>
      </c>
      <c r="H180" s="298">
        <f t="shared" si="2"/>
        <v>112980</v>
      </c>
    </row>
    <row r="181" spans="1:8" x14ac:dyDescent="0.2">
      <c r="A181" s="293" t="s">
        <v>522</v>
      </c>
      <c r="B181" s="488">
        <v>230</v>
      </c>
      <c r="C181" s="488">
        <v>230</v>
      </c>
      <c r="D181" s="294" t="s">
        <v>381</v>
      </c>
      <c r="E181" s="295">
        <v>14605</v>
      </c>
      <c r="F181" s="296">
        <v>3380</v>
      </c>
      <c r="G181" s="297">
        <v>30300</v>
      </c>
      <c r="H181" s="298">
        <f t="shared" si="2"/>
        <v>31815</v>
      </c>
    </row>
    <row r="182" spans="1:8" x14ac:dyDescent="0.2">
      <c r="A182" s="293" t="s">
        <v>512</v>
      </c>
      <c r="B182" s="488">
        <v>13</v>
      </c>
      <c r="C182" s="488">
        <v>13</v>
      </c>
      <c r="D182" s="294" t="s">
        <v>495</v>
      </c>
      <c r="E182" s="295">
        <v>14605</v>
      </c>
      <c r="F182" s="296">
        <v>3424</v>
      </c>
      <c r="G182" s="297">
        <v>264100</v>
      </c>
      <c r="H182" s="298">
        <f t="shared" si="2"/>
        <v>277305</v>
      </c>
    </row>
    <row r="183" spans="1:8" x14ac:dyDescent="0.2">
      <c r="A183" s="293" t="s">
        <v>523</v>
      </c>
      <c r="B183" s="488">
        <v>10</v>
      </c>
      <c r="C183" s="488">
        <v>6</v>
      </c>
      <c r="D183" s="294" t="s">
        <v>495</v>
      </c>
      <c r="E183" s="295">
        <v>14605</v>
      </c>
      <c r="F183" s="296">
        <v>2873</v>
      </c>
      <c r="G183" s="297">
        <v>263000</v>
      </c>
      <c r="H183" s="298">
        <f t="shared" si="2"/>
        <v>276150</v>
      </c>
    </row>
    <row r="184" spans="1:8" x14ac:dyDescent="0.2">
      <c r="A184" s="293" t="s">
        <v>524</v>
      </c>
      <c r="B184" s="488">
        <v>10</v>
      </c>
      <c r="C184" s="488">
        <v>4</v>
      </c>
      <c r="D184" s="294" t="s">
        <v>495</v>
      </c>
      <c r="E184" s="295">
        <v>14605</v>
      </c>
      <c r="F184" s="296">
        <v>2224</v>
      </c>
      <c r="G184" s="297">
        <v>192000</v>
      </c>
      <c r="H184" s="298">
        <f t="shared" si="2"/>
        <v>201600</v>
      </c>
    </row>
    <row r="185" spans="1:8" x14ac:dyDescent="0.2">
      <c r="A185" s="293" t="s">
        <v>488</v>
      </c>
      <c r="B185" s="488">
        <v>16</v>
      </c>
      <c r="C185" s="488">
        <v>16</v>
      </c>
      <c r="D185" s="294" t="s">
        <v>495</v>
      </c>
      <c r="E185" s="295">
        <v>14605</v>
      </c>
      <c r="F185" s="296">
        <v>3802</v>
      </c>
      <c r="G185" s="297">
        <v>280000</v>
      </c>
      <c r="H185" s="298">
        <f t="shared" si="2"/>
        <v>294000</v>
      </c>
    </row>
    <row r="186" spans="1:8" x14ac:dyDescent="0.2">
      <c r="A186" s="293" t="s">
        <v>525</v>
      </c>
      <c r="B186" s="488">
        <v>349</v>
      </c>
      <c r="C186" s="488">
        <v>351</v>
      </c>
      <c r="D186" s="294" t="s">
        <v>415</v>
      </c>
      <c r="E186" s="295">
        <v>14607</v>
      </c>
      <c r="F186" s="296">
        <v>2875</v>
      </c>
      <c r="G186" s="297">
        <v>110000</v>
      </c>
      <c r="H186" s="298">
        <f t="shared" si="2"/>
        <v>115500</v>
      </c>
    </row>
    <row r="187" spans="1:8" x14ac:dyDescent="0.2">
      <c r="A187" s="293" t="s">
        <v>526</v>
      </c>
      <c r="B187" s="488">
        <v>673</v>
      </c>
      <c r="C187" s="488">
        <v>673</v>
      </c>
      <c r="D187" s="294" t="s">
        <v>394</v>
      </c>
      <c r="E187" s="295">
        <v>14607</v>
      </c>
      <c r="F187" s="296">
        <v>7841</v>
      </c>
      <c r="G187" s="297">
        <v>130000</v>
      </c>
      <c r="H187" s="298">
        <f t="shared" si="2"/>
        <v>136500</v>
      </c>
    </row>
    <row r="188" spans="1:8" x14ac:dyDescent="0.2">
      <c r="A188" s="293" t="s">
        <v>527</v>
      </c>
      <c r="B188" s="488">
        <v>282</v>
      </c>
      <c r="C188" s="488">
        <v>282</v>
      </c>
      <c r="D188" s="294" t="s">
        <v>330</v>
      </c>
      <c r="E188" s="295">
        <v>14607</v>
      </c>
      <c r="F188" s="296">
        <v>8151</v>
      </c>
      <c r="G188" s="297">
        <v>471200</v>
      </c>
      <c r="H188" s="298">
        <f t="shared" si="2"/>
        <v>494760</v>
      </c>
    </row>
    <row r="189" spans="1:8" x14ac:dyDescent="0.2">
      <c r="A189" s="293" t="s">
        <v>528</v>
      </c>
      <c r="B189" s="488">
        <v>240</v>
      </c>
      <c r="C189" s="488">
        <v>240</v>
      </c>
      <c r="D189" s="294" t="s">
        <v>420</v>
      </c>
      <c r="E189" s="295">
        <v>14604</v>
      </c>
      <c r="F189" s="296">
        <v>5997</v>
      </c>
      <c r="G189" s="297">
        <v>204000</v>
      </c>
      <c r="H189" s="298">
        <f t="shared" si="2"/>
        <v>214200</v>
      </c>
    </row>
    <row r="190" spans="1:8" x14ac:dyDescent="0.2">
      <c r="A190" s="293" t="s">
        <v>529</v>
      </c>
      <c r="B190" s="488">
        <v>56</v>
      </c>
      <c r="C190" s="488">
        <v>56</v>
      </c>
      <c r="D190" s="294" t="s">
        <v>410</v>
      </c>
      <c r="E190" s="295">
        <v>14605</v>
      </c>
      <c r="F190" s="296">
        <v>2947</v>
      </c>
      <c r="G190" s="297">
        <v>225000</v>
      </c>
      <c r="H190" s="298">
        <f t="shared" si="2"/>
        <v>236250</v>
      </c>
    </row>
    <row r="191" spans="1:8" x14ac:dyDescent="0.2">
      <c r="A191" s="293" t="s">
        <v>530</v>
      </c>
      <c r="B191" s="488">
        <v>287</v>
      </c>
      <c r="C191" s="488">
        <v>289</v>
      </c>
      <c r="D191" s="294" t="s">
        <v>330</v>
      </c>
      <c r="E191" s="295">
        <v>14607</v>
      </c>
      <c r="F191" s="296">
        <v>5230</v>
      </c>
      <c r="G191" s="297">
        <v>275000</v>
      </c>
      <c r="H191" s="298">
        <f t="shared" si="2"/>
        <v>288750</v>
      </c>
    </row>
    <row r="192" spans="1:8" x14ac:dyDescent="0.2">
      <c r="A192" s="293" t="s">
        <v>531</v>
      </c>
      <c r="B192" s="488">
        <v>154</v>
      </c>
      <c r="C192" s="488">
        <v>154</v>
      </c>
      <c r="D192" s="294" t="s">
        <v>532</v>
      </c>
      <c r="E192" s="295">
        <v>14604</v>
      </c>
      <c r="F192" s="296">
        <v>15065</v>
      </c>
      <c r="G192" s="297">
        <v>763900</v>
      </c>
      <c r="H192" s="298">
        <f t="shared" si="2"/>
        <v>802095</v>
      </c>
    </row>
    <row r="193" spans="1:8" x14ac:dyDescent="0.2">
      <c r="A193" s="293" t="s">
        <v>533</v>
      </c>
      <c r="B193" s="488">
        <v>267</v>
      </c>
      <c r="C193" s="488">
        <v>267</v>
      </c>
      <c r="D193" s="294" t="s">
        <v>330</v>
      </c>
      <c r="E193" s="295">
        <v>14607</v>
      </c>
      <c r="F193" s="296">
        <v>13195</v>
      </c>
      <c r="G193" s="297">
        <v>137000</v>
      </c>
      <c r="H193" s="298">
        <f t="shared" si="2"/>
        <v>143850</v>
      </c>
    </row>
    <row r="194" spans="1:8" x14ac:dyDescent="0.2">
      <c r="A194" s="293" t="s">
        <v>534</v>
      </c>
      <c r="B194" s="488">
        <v>399</v>
      </c>
      <c r="C194" s="488">
        <v>399</v>
      </c>
      <c r="D194" s="294" t="s">
        <v>330</v>
      </c>
      <c r="E194" s="295">
        <v>14607</v>
      </c>
      <c r="F194" s="296">
        <v>20022</v>
      </c>
      <c r="G194" s="297">
        <v>230000</v>
      </c>
      <c r="H194" s="298">
        <f t="shared" si="2"/>
        <v>241500</v>
      </c>
    </row>
    <row r="195" spans="1:8" x14ac:dyDescent="0.2">
      <c r="A195" s="299" t="s">
        <v>535</v>
      </c>
      <c r="B195" s="489">
        <v>338</v>
      </c>
      <c r="C195" s="489">
        <v>338</v>
      </c>
      <c r="D195" s="300" t="s">
        <v>332</v>
      </c>
      <c r="E195" s="301">
        <v>14607</v>
      </c>
      <c r="F195" s="302">
        <v>4950</v>
      </c>
      <c r="G195" s="303">
        <v>115000</v>
      </c>
      <c r="H195" s="304">
        <f t="shared" si="2"/>
        <v>120750</v>
      </c>
    </row>
    <row r="196" spans="1:8" x14ac:dyDescent="0.2">
      <c r="A196" s="293" t="s">
        <v>536</v>
      </c>
      <c r="B196" s="488">
        <v>494</v>
      </c>
      <c r="C196" s="488">
        <v>494</v>
      </c>
      <c r="D196" s="294" t="s">
        <v>328</v>
      </c>
      <c r="E196" s="295">
        <v>14604</v>
      </c>
      <c r="F196" s="296">
        <v>3449</v>
      </c>
      <c r="G196" s="297">
        <v>33000</v>
      </c>
      <c r="H196" s="298">
        <f t="shared" si="2"/>
        <v>34650</v>
      </c>
    </row>
    <row r="197" spans="1:8" x14ac:dyDescent="0.2">
      <c r="A197" s="293" t="s">
        <v>481</v>
      </c>
      <c r="B197" s="488">
        <v>5</v>
      </c>
      <c r="C197" s="488">
        <v>5</v>
      </c>
      <c r="D197" s="294" t="s">
        <v>471</v>
      </c>
      <c r="E197" s="295">
        <v>14607</v>
      </c>
      <c r="F197" s="296">
        <v>3684</v>
      </c>
      <c r="G197" s="297">
        <v>65000</v>
      </c>
      <c r="H197" s="298">
        <f t="shared" si="2"/>
        <v>68250</v>
      </c>
    </row>
    <row r="198" spans="1:8" x14ac:dyDescent="0.2">
      <c r="A198" s="293" t="s">
        <v>537</v>
      </c>
      <c r="B198" s="488">
        <v>41</v>
      </c>
      <c r="C198" s="488">
        <v>41</v>
      </c>
      <c r="D198" s="294" t="s">
        <v>475</v>
      </c>
      <c r="E198" s="295">
        <v>14607</v>
      </c>
      <c r="F198" s="296">
        <v>4475</v>
      </c>
      <c r="G198" s="297">
        <v>59100</v>
      </c>
      <c r="H198" s="298">
        <f t="shared" si="2"/>
        <v>62055</v>
      </c>
    </row>
    <row r="199" spans="1:8" x14ac:dyDescent="0.2">
      <c r="A199" s="293" t="s">
        <v>538</v>
      </c>
      <c r="B199" s="488">
        <v>20</v>
      </c>
      <c r="C199" s="488">
        <v>20</v>
      </c>
      <c r="D199" s="294" t="s">
        <v>455</v>
      </c>
      <c r="E199" s="295">
        <v>14607</v>
      </c>
      <c r="F199" s="296">
        <v>3085</v>
      </c>
      <c r="G199" s="297">
        <v>95000</v>
      </c>
      <c r="H199" s="298">
        <f t="shared" ref="H199:H262" si="3">G199*1.05</f>
        <v>99750</v>
      </c>
    </row>
    <row r="200" spans="1:8" x14ac:dyDescent="0.2">
      <c r="A200" s="293" t="s">
        <v>539</v>
      </c>
      <c r="B200" s="488">
        <v>143</v>
      </c>
      <c r="C200" s="488">
        <v>145</v>
      </c>
      <c r="D200" s="294" t="s">
        <v>332</v>
      </c>
      <c r="E200" s="295">
        <v>14605</v>
      </c>
      <c r="F200" s="296">
        <v>3149</v>
      </c>
      <c r="G200" s="297">
        <v>35000</v>
      </c>
      <c r="H200" s="298">
        <f t="shared" si="3"/>
        <v>36750</v>
      </c>
    </row>
    <row r="201" spans="1:8" x14ac:dyDescent="0.2">
      <c r="A201" s="293" t="s">
        <v>540</v>
      </c>
      <c r="B201" s="488">
        <v>147</v>
      </c>
      <c r="C201" s="488">
        <v>147</v>
      </c>
      <c r="D201" s="294" t="s">
        <v>365</v>
      </c>
      <c r="E201" s="295">
        <v>14605</v>
      </c>
      <c r="F201" s="296">
        <v>4039</v>
      </c>
      <c r="G201" s="297">
        <v>33000</v>
      </c>
      <c r="H201" s="298">
        <f t="shared" si="3"/>
        <v>34650</v>
      </c>
    </row>
    <row r="202" spans="1:8" x14ac:dyDescent="0.2">
      <c r="A202" s="293" t="s">
        <v>489</v>
      </c>
      <c r="B202" s="488">
        <v>68</v>
      </c>
      <c r="C202" s="488">
        <v>68</v>
      </c>
      <c r="D202" s="294" t="s">
        <v>541</v>
      </c>
      <c r="E202" s="295">
        <v>14604</v>
      </c>
      <c r="F202" s="296">
        <v>0</v>
      </c>
      <c r="G202" s="297">
        <v>59000</v>
      </c>
      <c r="H202" s="298">
        <f t="shared" si="3"/>
        <v>61950</v>
      </c>
    </row>
    <row r="203" spans="1:8" x14ac:dyDescent="0.2">
      <c r="A203" s="293" t="s">
        <v>542</v>
      </c>
      <c r="B203" s="488">
        <v>122</v>
      </c>
      <c r="C203" s="488">
        <v>122</v>
      </c>
      <c r="D203" s="294" t="s">
        <v>368</v>
      </c>
      <c r="E203" s="295">
        <v>14607</v>
      </c>
      <c r="F203" s="296">
        <v>2000</v>
      </c>
      <c r="G203" s="297">
        <v>60000</v>
      </c>
      <c r="H203" s="298">
        <f t="shared" si="3"/>
        <v>63000</v>
      </c>
    </row>
    <row r="204" spans="1:8" x14ac:dyDescent="0.2">
      <c r="A204" s="293" t="s">
        <v>543</v>
      </c>
      <c r="B204" s="488">
        <v>30</v>
      </c>
      <c r="C204" s="488">
        <v>30</v>
      </c>
      <c r="D204" s="294" t="s">
        <v>361</v>
      </c>
      <c r="E204" s="295">
        <v>14607</v>
      </c>
      <c r="F204" s="296">
        <v>3435</v>
      </c>
      <c r="G204" s="297">
        <v>30000</v>
      </c>
      <c r="H204" s="298">
        <f t="shared" si="3"/>
        <v>31500</v>
      </c>
    </row>
    <row r="205" spans="1:8" x14ac:dyDescent="0.2">
      <c r="A205" s="293" t="s">
        <v>544</v>
      </c>
      <c r="B205" s="488">
        <v>309</v>
      </c>
      <c r="C205" s="488">
        <v>309</v>
      </c>
      <c r="D205" s="294" t="s">
        <v>332</v>
      </c>
      <c r="E205" s="295">
        <v>14607</v>
      </c>
      <c r="F205" s="296">
        <v>7881</v>
      </c>
      <c r="G205" s="297">
        <v>150000</v>
      </c>
      <c r="H205" s="298">
        <f t="shared" si="3"/>
        <v>157500</v>
      </c>
    </row>
    <row r="206" spans="1:8" x14ac:dyDescent="0.2">
      <c r="A206" s="293" t="s">
        <v>545</v>
      </c>
      <c r="B206" s="488">
        <v>722</v>
      </c>
      <c r="C206" s="488">
        <v>722</v>
      </c>
      <c r="D206" s="294" t="s">
        <v>328</v>
      </c>
      <c r="E206" s="295">
        <v>14605</v>
      </c>
      <c r="F206" s="296">
        <v>4174</v>
      </c>
      <c r="G206" s="297">
        <v>18000</v>
      </c>
      <c r="H206" s="298">
        <f t="shared" si="3"/>
        <v>18900</v>
      </c>
    </row>
    <row r="207" spans="1:8" x14ac:dyDescent="0.2">
      <c r="A207" s="293" t="s">
        <v>546</v>
      </c>
      <c r="B207" s="488">
        <v>397</v>
      </c>
      <c r="C207" s="294" t="s">
        <v>547</v>
      </c>
      <c r="D207" s="294" t="s">
        <v>330</v>
      </c>
      <c r="E207" s="295">
        <v>14607</v>
      </c>
      <c r="F207" s="296">
        <v>1173</v>
      </c>
      <c r="G207" s="297">
        <v>110000</v>
      </c>
      <c r="H207" s="298">
        <f t="shared" si="3"/>
        <v>115500</v>
      </c>
    </row>
    <row r="208" spans="1:8" x14ac:dyDescent="0.2">
      <c r="A208" s="293" t="s">
        <v>416</v>
      </c>
      <c r="B208" s="488">
        <v>7</v>
      </c>
      <c r="C208" s="488">
        <v>7</v>
      </c>
      <c r="D208" s="294" t="s">
        <v>548</v>
      </c>
      <c r="E208" s="295">
        <v>14608</v>
      </c>
      <c r="F208" s="296">
        <v>1280</v>
      </c>
      <c r="G208" s="297">
        <v>2300</v>
      </c>
      <c r="H208" s="298">
        <f t="shared" si="3"/>
        <v>2415</v>
      </c>
    </row>
    <row r="209" spans="1:8" x14ac:dyDescent="0.2">
      <c r="A209" s="293" t="s">
        <v>356</v>
      </c>
      <c r="B209" s="488">
        <v>293</v>
      </c>
      <c r="C209" s="488">
        <v>293</v>
      </c>
      <c r="D209" s="294" t="s">
        <v>330</v>
      </c>
      <c r="E209" s="295">
        <v>14607</v>
      </c>
      <c r="F209" s="296">
        <v>4774</v>
      </c>
      <c r="G209" s="297">
        <v>181000</v>
      </c>
      <c r="H209" s="298">
        <f t="shared" si="3"/>
        <v>190050</v>
      </c>
    </row>
    <row r="210" spans="1:8" x14ac:dyDescent="0.2">
      <c r="A210" s="293" t="s">
        <v>404</v>
      </c>
      <c r="B210" s="488">
        <v>29</v>
      </c>
      <c r="C210" s="488">
        <v>29</v>
      </c>
      <c r="D210" s="294" t="s">
        <v>455</v>
      </c>
      <c r="E210" s="295">
        <v>14607</v>
      </c>
      <c r="F210" s="296">
        <v>3018</v>
      </c>
      <c r="G210" s="297">
        <v>148000</v>
      </c>
      <c r="H210" s="298">
        <f t="shared" si="3"/>
        <v>155400</v>
      </c>
    </row>
    <row r="211" spans="1:8" x14ac:dyDescent="0.2">
      <c r="A211" s="293" t="s">
        <v>519</v>
      </c>
      <c r="B211" s="488">
        <v>37</v>
      </c>
      <c r="C211" s="488">
        <v>37</v>
      </c>
      <c r="D211" s="294" t="s">
        <v>499</v>
      </c>
      <c r="E211" s="295">
        <v>14607</v>
      </c>
      <c r="F211" s="296">
        <v>3978</v>
      </c>
      <c r="G211" s="297">
        <v>112500</v>
      </c>
      <c r="H211" s="298">
        <f t="shared" si="3"/>
        <v>118125</v>
      </c>
    </row>
    <row r="212" spans="1:8" x14ac:dyDescent="0.2">
      <c r="A212" s="293" t="s">
        <v>549</v>
      </c>
      <c r="B212" s="488">
        <v>475</v>
      </c>
      <c r="C212" s="488">
        <v>475</v>
      </c>
      <c r="D212" s="294" t="s">
        <v>550</v>
      </c>
      <c r="E212" s="295">
        <v>14607</v>
      </c>
      <c r="F212" s="296">
        <v>20125</v>
      </c>
      <c r="G212" s="297">
        <v>4200000</v>
      </c>
      <c r="H212" s="298">
        <f t="shared" si="3"/>
        <v>4410000</v>
      </c>
    </row>
    <row r="213" spans="1:8" x14ac:dyDescent="0.2">
      <c r="A213" s="293" t="s">
        <v>551</v>
      </c>
      <c r="B213" s="488">
        <v>344</v>
      </c>
      <c r="C213" s="488">
        <v>344</v>
      </c>
      <c r="D213" s="294" t="s">
        <v>420</v>
      </c>
      <c r="E213" s="295">
        <v>14604</v>
      </c>
      <c r="F213" s="296">
        <v>9927</v>
      </c>
      <c r="G213" s="297">
        <v>201300</v>
      </c>
      <c r="H213" s="298">
        <f t="shared" si="3"/>
        <v>211365</v>
      </c>
    </row>
    <row r="214" spans="1:8" x14ac:dyDescent="0.2">
      <c r="A214" s="293" t="s">
        <v>552</v>
      </c>
      <c r="B214" s="488">
        <v>286</v>
      </c>
      <c r="C214" s="488">
        <v>286</v>
      </c>
      <c r="D214" s="294" t="s">
        <v>330</v>
      </c>
      <c r="E214" s="295">
        <v>14607</v>
      </c>
      <c r="F214" s="296">
        <v>10863</v>
      </c>
      <c r="G214" s="297">
        <v>73000</v>
      </c>
      <c r="H214" s="298">
        <f t="shared" si="3"/>
        <v>76650</v>
      </c>
    </row>
    <row r="215" spans="1:8" x14ac:dyDescent="0.2">
      <c r="A215" s="293" t="s">
        <v>553</v>
      </c>
      <c r="B215" s="488">
        <v>54</v>
      </c>
      <c r="C215" s="488">
        <v>54</v>
      </c>
      <c r="D215" s="294" t="s">
        <v>339</v>
      </c>
      <c r="E215" s="295">
        <v>14607</v>
      </c>
      <c r="F215" s="296">
        <v>4414</v>
      </c>
      <c r="G215" s="297">
        <v>148400</v>
      </c>
      <c r="H215" s="298">
        <f t="shared" si="3"/>
        <v>155820</v>
      </c>
    </row>
    <row r="216" spans="1:8" x14ac:dyDescent="0.2">
      <c r="A216" s="293" t="s">
        <v>417</v>
      </c>
      <c r="B216" s="488">
        <v>129</v>
      </c>
      <c r="C216" s="488">
        <v>129</v>
      </c>
      <c r="D216" s="294" t="s">
        <v>348</v>
      </c>
      <c r="E216" s="295">
        <v>14607</v>
      </c>
      <c r="F216" s="296">
        <v>6852</v>
      </c>
      <c r="G216" s="297">
        <v>115000</v>
      </c>
      <c r="H216" s="298">
        <f t="shared" si="3"/>
        <v>120750</v>
      </c>
    </row>
    <row r="217" spans="1:8" x14ac:dyDescent="0.2">
      <c r="A217" s="293" t="s">
        <v>554</v>
      </c>
      <c r="B217" s="488">
        <v>48</v>
      </c>
      <c r="C217" s="488">
        <v>48</v>
      </c>
      <c r="D217" s="294" t="s">
        <v>410</v>
      </c>
      <c r="E217" s="295">
        <v>14605</v>
      </c>
      <c r="F217" s="296">
        <v>3187</v>
      </c>
      <c r="G217" s="297">
        <v>435000</v>
      </c>
      <c r="H217" s="298">
        <f t="shared" si="3"/>
        <v>456750</v>
      </c>
    </row>
    <row r="218" spans="1:8" x14ac:dyDescent="0.2">
      <c r="A218" s="293" t="s">
        <v>555</v>
      </c>
      <c r="B218" s="488">
        <v>97</v>
      </c>
      <c r="C218" s="488">
        <v>97</v>
      </c>
      <c r="D218" s="294" t="s">
        <v>418</v>
      </c>
      <c r="E218" s="295">
        <v>14605</v>
      </c>
      <c r="F218" s="296">
        <v>1413</v>
      </c>
      <c r="G218" s="297">
        <v>1000</v>
      </c>
      <c r="H218" s="298">
        <f t="shared" si="3"/>
        <v>1050</v>
      </c>
    </row>
    <row r="219" spans="1:8" x14ac:dyDescent="0.2">
      <c r="A219" s="293" t="s">
        <v>556</v>
      </c>
      <c r="B219" s="488">
        <v>236</v>
      </c>
      <c r="C219" s="488">
        <v>238</v>
      </c>
      <c r="D219" s="294" t="s">
        <v>381</v>
      </c>
      <c r="E219" s="295">
        <v>14605</v>
      </c>
      <c r="F219" s="296">
        <v>6289</v>
      </c>
      <c r="G219" s="297">
        <v>34000</v>
      </c>
      <c r="H219" s="298">
        <f t="shared" si="3"/>
        <v>35700</v>
      </c>
    </row>
    <row r="220" spans="1:8" x14ac:dyDescent="0.2">
      <c r="A220" s="293" t="s">
        <v>557</v>
      </c>
      <c r="B220" s="488">
        <v>6</v>
      </c>
      <c r="C220" s="488">
        <v>6</v>
      </c>
      <c r="D220" s="294" t="s">
        <v>460</v>
      </c>
      <c r="E220" s="295">
        <v>14607</v>
      </c>
      <c r="F220" s="296">
        <v>18465</v>
      </c>
      <c r="G220" s="297">
        <v>360000</v>
      </c>
      <c r="H220" s="298">
        <f t="shared" si="3"/>
        <v>378000</v>
      </c>
    </row>
    <row r="221" spans="1:8" x14ac:dyDescent="0.2">
      <c r="A221" s="293" t="s">
        <v>558</v>
      </c>
      <c r="B221" s="488">
        <v>42</v>
      </c>
      <c r="C221" s="488">
        <v>42</v>
      </c>
      <c r="D221" s="294" t="s">
        <v>377</v>
      </c>
      <c r="E221" s="295">
        <v>14607</v>
      </c>
      <c r="F221" s="296">
        <v>5485</v>
      </c>
      <c r="G221" s="297">
        <v>27600</v>
      </c>
      <c r="H221" s="298">
        <f t="shared" si="3"/>
        <v>28980</v>
      </c>
    </row>
    <row r="222" spans="1:8" x14ac:dyDescent="0.2">
      <c r="A222" s="293" t="s">
        <v>559</v>
      </c>
      <c r="B222" s="488">
        <v>89</v>
      </c>
      <c r="C222" s="488">
        <v>89</v>
      </c>
      <c r="D222" s="294" t="s">
        <v>420</v>
      </c>
      <c r="E222" s="295">
        <v>14604</v>
      </c>
      <c r="F222" s="296">
        <v>0</v>
      </c>
      <c r="G222" s="297">
        <v>2425000</v>
      </c>
      <c r="H222" s="298">
        <f t="shared" si="3"/>
        <v>2546250</v>
      </c>
    </row>
    <row r="223" spans="1:8" x14ac:dyDescent="0.2">
      <c r="A223" s="293" t="s">
        <v>403</v>
      </c>
      <c r="B223" s="488">
        <v>17</v>
      </c>
      <c r="C223" s="488">
        <v>17</v>
      </c>
      <c r="D223" s="294" t="s">
        <v>460</v>
      </c>
      <c r="E223" s="295">
        <v>14607</v>
      </c>
      <c r="F223" s="296">
        <v>16582</v>
      </c>
      <c r="G223" s="297">
        <v>385000</v>
      </c>
      <c r="H223" s="298">
        <f t="shared" si="3"/>
        <v>404250</v>
      </c>
    </row>
    <row r="224" spans="1:8" x14ac:dyDescent="0.2">
      <c r="A224" s="293" t="s">
        <v>560</v>
      </c>
      <c r="B224" s="488">
        <v>92</v>
      </c>
      <c r="C224" s="488">
        <v>92</v>
      </c>
      <c r="D224" s="294" t="s">
        <v>361</v>
      </c>
      <c r="E224" s="295">
        <v>14607</v>
      </c>
      <c r="F224" s="296">
        <v>3243</v>
      </c>
      <c r="G224" s="297">
        <v>65000</v>
      </c>
      <c r="H224" s="298">
        <f t="shared" si="3"/>
        <v>68250</v>
      </c>
    </row>
    <row r="225" spans="1:8" x14ac:dyDescent="0.2">
      <c r="A225" s="293" t="s">
        <v>561</v>
      </c>
      <c r="B225" s="488">
        <v>431</v>
      </c>
      <c r="C225" s="488">
        <v>431</v>
      </c>
      <c r="D225" s="294" t="s">
        <v>415</v>
      </c>
      <c r="E225" s="295">
        <v>14607</v>
      </c>
      <c r="F225" s="296">
        <v>3883</v>
      </c>
      <c r="G225" s="297">
        <v>6000</v>
      </c>
      <c r="H225" s="298">
        <f t="shared" si="3"/>
        <v>6300</v>
      </c>
    </row>
    <row r="226" spans="1:8" x14ac:dyDescent="0.2">
      <c r="A226" s="293" t="s">
        <v>562</v>
      </c>
      <c r="B226" s="488">
        <v>143</v>
      </c>
      <c r="C226" s="488">
        <v>143</v>
      </c>
      <c r="D226" s="294" t="s">
        <v>354</v>
      </c>
      <c r="E226" s="295">
        <v>14607</v>
      </c>
      <c r="F226" s="296">
        <v>3541</v>
      </c>
      <c r="G226" s="297">
        <v>50600</v>
      </c>
      <c r="H226" s="298">
        <f t="shared" si="3"/>
        <v>53130</v>
      </c>
    </row>
    <row r="227" spans="1:8" x14ac:dyDescent="0.2">
      <c r="A227" s="293" t="s">
        <v>563</v>
      </c>
      <c r="B227" s="488">
        <v>85</v>
      </c>
      <c r="C227" s="488">
        <v>85</v>
      </c>
      <c r="D227" s="294" t="s">
        <v>339</v>
      </c>
      <c r="E227" s="295">
        <v>14607</v>
      </c>
      <c r="F227" s="296">
        <v>11665</v>
      </c>
      <c r="G227" s="297">
        <v>965000</v>
      </c>
      <c r="H227" s="298">
        <f t="shared" si="3"/>
        <v>1013250</v>
      </c>
    </row>
    <row r="228" spans="1:8" x14ac:dyDescent="0.2">
      <c r="A228" s="293" t="s">
        <v>564</v>
      </c>
      <c r="B228" s="488">
        <v>440</v>
      </c>
      <c r="C228" s="488">
        <v>440</v>
      </c>
      <c r="D228" s="294" t="s">
        <v>420</v>
      </c>
      <c r="E228" s="295">
        <v>14607</v>
      </c>
      <c r="F228" s="296">
        <v>45361</v>
      </c>
      <c r="G228" s="297">
        <v>1093300</v>
      </c>
      <c r="H228" s="298">
        <f t="shared" si="3"/>
        <v>1147965</v>
      </c>
    </row>
    <row r="229" spans="1:8" x14ac:dyDescent="0.2">
      <c r="A229" s="293" t="s">
        <v>538</v>
      </c>
      <c r="B229" s="488">
        <v>20</v>
      </c>
      <c r="C229" s="488">
        <v>20</v>
      </c>
      <c r="D229" s="294" t="s">
        <v>443</v>
      </c>
      <c r="E229" s="295">
        <v>14607</v>
      </c>
      <c r="F229" s="296">
        <v>3326</v>
      </c>
      <c r="G229" s="297">
        <v>155000</v>
      </c>
      <c r="H229" s="298">
        <f t="shared" si="3"/>
        <v>162750</v>
      </c>
    </row>
    <row r="230" spans="1:8" x14ac:dyDescent="0.2">
      <c r="A230" s="293" t="s">
        <v>565</v>
      </c>
      <c r="B230" s="488">
        <v>49</v>
      </c>
      <c r="C230" s="488">
        <v>51</v>
      </c>
      <c r="D230" s="294" t="s">
        <v>464</v>
      </c>
      <c r="E230" s="295">
        <v>14607</v>
      </c>
      <c r="F230" s="296">
        <v>3324</v>
      </c>
      <c r="G230" s="297">
        <v>96000</v>
      </c>
      <c r="H230" s="298">
        <f t="shared" si="3"/>
        <v>100800</v>
      </c>
    </row>
    <row r="231" spans="1:8" x14ac:dyDescent="0.2">
      <c r="A231" s="293" t="s">
        <v>538</v>
      </c>
      <c r="B231" s="488">
        <v>20</v>
      </c>
      <c r="C231" s="488">
        <v>20</v>
      </c>
      <c r="D231" s="294" t="s">
        <v>464</v>
      </c>
      <c r="E231" s="295">
        <v>14607</v>
      </c>
      <c r="F231" s="296">
        <v>2947</v>
      </c>
      <c r="G231" s="297">
        <v>65300</v>
      </c>
      <c r="H231" s="298">
        <f t="shared" si="3"/>
        <v>68565</v>
      </c>
    </row>
    <row r="232" spans="1:8" x14ac:dyDescent="0.2">
      <c r="A232" s="293" t="s">
        <v>369</v>
      </c>
      <c r="B232" s="488">
        <v>216</v>
      </c>
      <c r="C232" s="488">
        <v>216</v>
      </c>
      <c r="D232" s="294" t="s">
        <v>381</v>
      </c>
      <c r="E232" s="295">
        <v>14605</v>
      </c>
      <c r="F232" s="296">
        <v>4215</v>
      </c>
      <c r="G232" s="297">
        <v>24300</v>
      </c>
      <c r="H232" s="298">
        <f t="shared" si="3"/>
        <v>25515</v>
      </c>
    </row>
    <row r="233" spans="1:8" x14ac:dyDescent="0.2">
      <c r="A233" s="293" t="s">
        <v>566</v>
      </c>
      <c r="B233" s="488">
        <v>141</v>
      </c>
      <c r="C233" s="488">
        <v>141</v>
      </c>
      <c r="D233" s="294" t="s">
        <v>341</v>
      </c>
      <c r="E233" s="295">
        <v>14605</v>
      </c>
      <c r="F233" s="296">
        <v>6357</v>
      </c>
      <c r="G233" s="297">
        <v>55000</v>
      </c>
      <c r="H233" s="298">
        <f t="shared" si="3"/>
        <v>57750</v>
      </c>
    </row>
    <row r="234" spans="1:8" x14ac:dyDescent="0.2">
      <c r="A234" s="293" t="s">
        <v>567</v>
      </c>
      <c r="B234" s="488">
        <v>82</v>
      </c>
      <c r="C234" s="488">
        <v>82</v>
      </c>
      <c r="D234" s="294" t="s">
        <v>354</v>
      </c>
      <c r="E234" s="295">
        <v>14607</v>
      </c>
      <c r="F234" s="296">
        <v>7404</v>
      </c>
      <c r="G234" s="297">
        <v>162000</v>
      </c>
      <c r="H234" s="298">
        <f t="shared" si="3"/>
        <v>170100</v>
      </c>
    </row>
    <row r="235" spans="1:8" x14ac:dyDescent="0.2">
      <c r="A235" s="293" t="s">
        <v>568</v>
      </c>
      <c r="B235" s="488">
        <v>418</v>
      </c>
      <c r="C235" s="488">
        <v>418</v>
      </c>
      <c r="D235" s="294" t="s">
        <v>415</v>
      </c>
      <c r="E235" s="295">
        <v>14607</v>
      </c>
      <c r="F235" s="296">
        <v>5899</v>
      </c>
      <c r="G235" s="297">
        <v>139000</v>
      </c>
      <c r="H235" s="298">
        <f t="shared" si="3"/>
        <v>145950</v>
      </c>
    </row>
    <row r="236" spans="1:8" x14ac:dyDescent="0.2">
      <c r="A236" s="293" t="s">
        <v>569</v>
      </c>
      <c r="B236" s="488">
        <v>180</v>
      </c>
      <c r="C236" s="488">
        <v>180</v>
      </c>
      <c r="D236" s="294" t="s">
        <v>532</v>
      </c>
      <c r="E236" s="295">
        <v>14604</v>
      </c>
      <c r="F236" s="296">
        <v>63038</v>
      </c>
      <c r="G236" s="297">
        <v>16295800</v>
      </c>
      <c r="H236" s="298">
        <f t="shared" si="3"/>
        <v>17110590</v>
      </c>
    </row>
    <row r="237" spans="1:8" x14ac:dyDescent="0.2">
      <c r="A237" s="293" t="s">
        <v>570</v>
      </c>
      <c r="B237" s="488">
        <v>1</v>
      </c>
      <c r="C237" s="488">
        <v>1</v>
      </c>
      <c r="D237" s="294" t="s">
        <v>571</v>
      </c>
      <c r="E237" s="295">
        <v>14607</v>
      </c>
      <c r="F237" s="296">
        <v>588038</v>
      </c>
      <c r="G237" s="297">
        <v>17730000</v>
      </c>
      <c r="H237" s="298">
        <f t="shared" si="3"/>
        <v>18616500</v>
      </c>
    </row>
    <row r="238" spans="1:8" x14ac:dyDescent="0.2">
      <c r="A238" s="293" t="s">
        <v>572</v>
      </c>
      <c r="B238" s="488">
        <v>546</v>
      </c>
      <c r="C238" s="488">
        <v>556</v>
      </c>
      <c r="D238" s="294" t="s">
        <v>328</v>
      </c>
      <c r="E238" s="295">
        <v>14604</v>
      </c>
      <c r="F238" s="296">
        <v>19681</v>
      </c>
      <c r="G238" s="297">
        <v>621000</v>
      </c>
      <c r="H238" s="298">
        <f t="shared" si="3"/>
        <v>652050</v>
      </c>
    </row>
    <row r="239" spans="1:8" x14ac:dyDescent="0.2">
      <c r="A239" s="293" t="s">
        <v>573</v>
      </c>
      <c r="B239" s="488">
        <v>233</v>
      </c>
      <c r="C239" s="488">
        <v>233</v>
      </c>
      <c r="D239" s="294" t="s">
        <v>330</v>
      </c>
      <c r="E239" s="295">
        <v>14607</v>
      </c>
      <c r="F239" s="296">
        <v>21739</v>
      </c>
      <c r="G239" s="297">
        <v>270000</v>
      </c>
      <c r="H239" s="298">
        <f t="shared" si="3"/>
        <v>283500</v>
      </c>
    </row>
    <row r="240" spans="1:8" x14ac:dyDescent="0.2">
      <c r="A240" s="293" t="s">
        <v>574</v>
      </c>
      <c r="B240" s="488">
        <v>170</v>
      </c>
      <c r="C240" s="488">
        <v>176</v>
      </c>
      <c r="D240" s="294" t="s">
        <v>377</v>
      </c>
      <c r="E240" s="295">
        <v>14607</v>
      </c>
      <c r="F240" s="296">
        <v>27030</v>
      </c>
      <c r="G240" s="297">
        <v>596800</v>
      </c>
      <c r="H240" s="298">
        <f t="shared" si="3"/>
        <v>626640</v>
      </c>
    </row>
    <row r="241" spans="1:8" x14ac:dyDescent="0.2">
      <c r="A241" s="293" t="s">
        <v>575</v>
      </c>
      <c r="B241" s="488">
        <v>362</v>
      </c>
      <c r="C241" s="488">
        <v>362</v>
      </c>
      <c r="D241" s="294" t="s">
        <v>330</v>
      </c>
      <c r="E241" s="295">
        <v>14607</v>
      </c>
      <c r="F241" s="296">
        <v>7358</v>
      </c>
      <c r="G241" s="297">
        <v>96000</v>
      </c>
      <c r="H241" s="298">
        <f t="shared" si="3"/>
        <v>100800</v>
      </c>
    </row>
    <row r="242" spans="1:8" x14ac:dyDescent="0.2">
      <c r="A242" s="293" t="s">
        <v>576</v>
      </c>
      <c r="B242" s="488">
        <v>208</v>
      </c>
      <c r="C242" s="488">
        <v>210</v>
      </c>
      <c r="D242" s="294" t="s">
        <v>368</v>
      </c>
      <c r="E242" s="295">
        <v>14607</v>
      </c>
      <c r="F242" s="296">
        <v>2625</v>
      </c>
      <c r="G242" s="297">
        <v>10500</v>
      </c>
      <c r="H242" s="298">
        <f t="shared" si="3"/>
        <v>11025</v>
      </c>
    </row>
    <row r="243" spans="1:8" x14ac:dyDescent="0.2">
      <c r="A243" s="293" t="s">
        <v>577</v>
      </c>
      <c r="B243" s="488">
        <v>36</v>
      </c>
      <c r="C243" s="488">
        <v>38</v>
      </c>
      <c r="D243" s="294" t="s">
        <v>443</v>
      </c>
      <c r="E243" s="295">
        <v>14607</v>
      </c>
      <c r="F243" s="296">
        <v>3856</v>
      </c>
      <c r="G243" s="297">
        <v>100000</v>
      </c>
      <c r="H243" s="298">
        <f t="shared" si="3"/>
        <v>105000</v>
      </c>
    </row>
    <row r="244" spans="1:8" x14ac:dyDescent="0.2">
      <c r="A244" s="293" t="s">
        <v>578</v>
      </c>
      <c r="B244" s="488">
        <v>25</v>
      </c>
      <c r="C244" s="488">
        <v>25</v>
      </c>
      <c r="D244" s="294" t="s">
        <v>377</v>
      </c>
      <c r="E244" s="295">
        <v>14607</v>
      </c>
      <c r="F244" s="296">
        <v>3133</v>
      </c>
      <c r="G244" s="297">
        <v>22500</v>
      </c>
      <c r="H244" s="298">
        <f t="shared" si="3"/>
        <v>23625</v>
      </c>
    </row>
    <row r="245" spans="1:8" x14ac:dyDescent="0.2">
      <c r="A245" s="293" t="s">
        <v>579</v>
      </c>
      <c r="B245" s="488">
        <v>294</v>
      </c>
      <c r="C245" s="488">
        <v>300</v>
      </c>
      <c r="D245" s="294" t="s">
        <v>330</v>
      </c>
      <c r="E245" s="295">
        <v>14607</v>
      </c>
      <c r="F245" s="296">
        <v>35995</v>
      </c>
      <c r="G245" s="297">
        <v>1200000</v>
      </c>
      <c r="H245" s="298">
        <f t="shared" si="3"/>
        <v>1260000</v>
      </c>
    </row>
    <row r="246" spans="1:8" x14ac:dyDescent="0.2">
      <c r="A246" s="293" t="s">
        <v>372</v>
      </c>
      <c r="B246" s="488">
        <v>14</v>
      </c>
      <c r="C246" s="488">
        <v>14</v>
      </c>
      <c r="D246" s="294" t="s">
        <v>460</v>
      </c>
      <c r="E246" s="295">
        <v>14607</v>
      </c>
      <c r="F246" s="296">
        <v>6550</v>
      </c>
      <c r="G246" s="297">
        <v>200000</v>
      </c>
      <c r="H246" s="298">
        <f t="shared" si="3"/>
        <v>210000</v>
      </c>
    </row>
    <row r="247" spans="1:8" x14ac:dyDescent="0.2">
      <c r="A247" s="293" t="s">
        <v>580</v>
      </c>
      <c r="B247" s="488">
        <v>40</v>
      </c>
      <c r="C247" s="488">
        <v>40</v>
      </c>
      <c r="D247" s="294" t="s">
        <v>475</v>
      </c>
      <c r="E247" s="295">
        <v>14607</v>
      </c>
      <c r="F247" s="296">
        <v>1579</v>
      </c>
      <c r="G247" s="297">
        <v>65000</v>
      </c>
      <c r="H247" s="298">
        <f t="shared" si="3"/>
        <v>68250</v>
      </c>
    </row>
    <row r="248" spans="1:8" x14ac:dyDescent="0.2">
      <c r="A248" s="293" t="s">
        <v>570</v>
      </c>
      <c r="B248" s="488">
        <v>1</v>
      </c>
      <c r="C248" s="488">
        <v>1</v>
      </c>
      <c r="D248" s="294" t="s">
        <v>581</v>
      </c>
      <c r="E248" s="295">
        <v>14607</v>
      </c>
      <c r="F248" s="296">
        <v>3690</v>
      </c>
      <c r="G248" s="297">
        <v>75000</v>
      </c>
      <c r="H248" s="298">
        <f t="shared" si="3"/>
        <v>78750</v>
      </c>
    </row>
    <row r="249" spans="1:8" x14ac:dyDescent="0.2">
      <c r="A249" s="293" t="s">
        <v>582</v>
      </c>
      <c r="B249" s="488">
        <v>368</v>
      </c>
      <c r="C249" s="488">
        <v>370</v>
      </c>
      <c r="D249" s="294" t="s">
        <v>415</v>
      </c>
      <c r="E249" s="295">
        <v>14607</v>
      </c>
      <c r="F249" s="296">
        <v>0</v>
      </c>
      <c r="G249" s="297">
        <v>100000</v>
      </c>
      <c r="H249" s="298">
        <f t="shared" si="3"/>
        <v>105000</v>
      </c>
    </row>
    <row r="250" spans="1:8" x14ac:dyDescent="0.2">
      <c r="A250" s="293" t="s">
        <v>406</v>
      </c>
      <c r="B250" s="488">
        <v>11</v>
      </c>
      <c r="C250" s="488">
        <v>11</v>
      </c>
      <c r="D250" s="294" t="s">
        <v>455</v>
      </c>
      <c r="E250" s="295">
        <v>14607</v>
      </c>
      <c r="F250" s="296">
        <v>1458</v>
      </c>
      <c r="G250" s="297">
        <v>1500</v>
      </c>
      <c r="H250" s="298">
        <f t="shared" si="3"/>
        <v>1575</v>
      </c>
    </row>
    <row r="251" spans="1:8" x14ac:dyDescent="0.2">
      <c r="A251" s="293" t="s">
        <v>583</v>
      </c>
      <c r="B251" s="488">
        <v>400</v>
      </c>
      <c r="C251" s="488">
        <v>400</v>
      </c>
      <c r="D251" s="294" t="s">
        <v>415</v>
      </c>
      <c r="E251" s="295">
        <v>14607</v>
      </c>
      <c r="F251" s="296">
        <v>4556</v>
      </c>
      <c r="G251" s="297">
        <v>130000</v>
      </c>
      <c r="H251" s="298">
        <f t="shared" si="3"/>
        <v>136500</v>
      </c>
    </row>
    <row r="252" spans="1:8" x14ac:dyDescent="0.2">
      <c r="A252" s="293" t="s">
        <v>416</v>
      </c>
      <c r="B252" s="488">
        <v>7</v>
      </c>
      <c r="C252" s="488">
        <v>7</v>
      </c>
      <c r="D252" s="294" t="s">
        <v>452</v>
      </c>
      <c r="E252" s="295">
        <v>14607</v>
      </c>
      <c r="F252" s="296">
        <v>5200</v>
      </c>
      <c r="G252" s="297">
        <v>119100</v>
      </c>
      <c r="H252" s="298">
        <f t="shared" si="3"/>
        <v>125055</v>
      </c>
    </row>
    <row r="253" spans="1:8" x14ac:dyDescent="0.2">
      <c r="A253" s="293" t="s">
        <v>584</v>
      </c>
      <c r="B253" s="488">
        <v>70</v>
      </c>
      <c r="C253" s="488">
        <v>70</v>
      </c>
      <c r="D253" s="294" t="s">
        <v>337</v>
      </c>
      <c r="E253" s="295">
        <v>14607</v>
      </c>
      <c r="F253" s="296">
        <v>3183</v>
      </c>
      <c r="G253" s="297">
        <v>17500</v>
      </c>
      <c r="H253" s="298">
        <f t="shared" si="3"/>
        <v>18375</v>
      </c>
    </row>
    <row r="254" spans="1:8" x14ac:dyDescent="0.2">
      <c r="A254" s="293" t="s">
        <v>585</v>
      </c>
      <c r="B254" s="488">
        <v>401</v>
      </c>
      <c r="C254" s="488">
        <v>401</v>
      </c>
      <c r="D254" s="294" t="s">
        <v>415</v>
      </c>
      <c r="E254" s="295">
        <v>14607</v>
      </c>
      <c r="F254" s="296">
        <v>1667</v>
      </c>
      <c r="G254" s="297">
        <v>102000</v>
      </c>
      <c r="H254" s="298">
        <f t="shared" si="3"/>
        <v>107100</v>
      </c>
    </row>
    <row r="255" spans="1:8" x14ac:dyDescent="0.2">
      <c r="A255" s="293" t="s">
        <v>586</v>
      </c>
      <c r="B255" s="488">
        <v>645</v>
      </c>
      <c r="C255" s="488">
        <v>645</v>
      </c>
      <c r="D255" s="294" t="s">
        <v>394</v>
      </c>
      <c r="E255" s="295">
        <v>14607</v>
      </c>
      <c r="F255" s="296">
        <v>7820</v>
      </c>
      <c r="G255" s="297">
        <v>129000</v>
      </c>
      <c r="H255" s="298">
        <f t="shared" si="3"/>
        <v>135450</v>
      </c>
    </row>
    <row r="256" spans="1:8" x14ac:dyDescent="0.2">
      <c r="A256" s="293" t="s">
        <v>587</v>
      </c>
      <c r="B256" s="488">
        <v>34</v>
      </c>
      <c r="C256" s="488">
        <v>36</v>
      </c>
      <c r="D256" s="294" t="s">
        <v>354</v>
      </c>
      <c r="E256" s="295">
        <v>14607</v>
      </c>
      <c r="F256" s="296">
        <v>4503</v>
      </c>
      <c r="G256" s="297">
        <v>104100</v>
      </c>
      <c r="H256" s="298">
        <f t="shared" si="3"/>
        <v>109305</v>
      </c>
    </row>
    <row r="257" spans="1:8" x14ac:dyDescent="0.2">
      <c r="A257" s="293" t="s">
        <v>588</v>
      </c>
      <c r="B257" s="488">
        <v>111</v>
      </c>
      <c r="C257" s="488">
        <v>111</v>
      </c>
      <c r="D257" s="294" t="s">
        <v>339</v>
      </c>
      <c r="E257" s="295">
        <v>14607</v>
      </c>
      <c r="F257" s="296">
        <v>4469</v>
      </c>
      <c r="G257" s="297">
        <v>100900</v>
      </c>
      <c r="H257" s="298">
        <f t="shared" si="3"/>
        <v>105945</v>
      </c>
    </row>
    <row r="258" spans="1:8" x14ac:dyDescent="0.2">
      <c r="A258" s="299" t="s">
        <v>589</v>
      </c>
      <c r="B258" s="489">
        <v>350</v>
      </c>
      <c r="C258" s="300" t="s">
        <v>590</v>
      </c>
      <c r="D258" s="300" t="s">
        <v>332</v>
      </c>
      <c r="E258" s="301">
        <v>14607</v>
      </c>
      <c r="F258" s="302">
        <v>1130</v>
      </c>
      <c r="G258" s="303">
        <v>107100</v>
      </c>
      <c r="H258" s="304">
        <f t="shared" si="3"/>
        <v>112455</v>
      </c>
    </row>
    <row r="259" spans="1:8" x14ac:dyDescent="0.2">
      <c r="A259" s="293" t="s">
        <v>591</v>
      </c>
      <c r="B259" s="488">
        <v>68</v>
      </c>
      <c r="C259" s="488">
        <v>72</v>
      </c>
      <c r="D259" s="294" t="s">
        <v>365</v>
      </c>
      <c r="E259" s="295">
        <v>14604</v>
      </c>
      <c r="F259" s="296">
        <v>9528</v>
      </c>
      <c r="G259" s="297">
        <v>234100</v>
      </c>
      <c r="H259" s="298">
        <f t="shared" si="3"/>
        <v>245805</v>
      </c>
    </row>
    <row r="260" spans="1:8" x14ac:dyDescent="0.2">
      <c r="A260" s="293" t="s">
        <v>592</v>
      </c>
      <c r="B260" s="488">
        <v>57</v>
      </c>
      <c r="C260" s="488">
        <v>57</v>
      </c>
      <c r="D260" s="294" t="s">
        <v>415</v>
      </c>
      <c r="E260" s="295">
        <v>14607</v>
      </c>
      <c r="F260" s="296">
        <v>3546</v>
      </c>
      <c r="G260" s="297">
        <v>114000</v>
      </c>
      <c r="H260" s="298">
        <f t="shared" si="3"/>
        <v>119700</v>
      </c>
    </row>
    <row r="261" spans="1:8" x14ac:dyDescent="0.2">
      <c r="A261" s="293" t="s">
        <v>593</v>
      </c>
      <c r="B261" s="488">
        <v>17</v>
      </c>
      <c r="C261" s="488">
        <v>19</v>
      </c>
      <c r="D261" s="294" t="s">
        <v>339</v>
      </c>
      <c r="E261" s="295">
        <v>14607</v>
      </c>
      <c r="F261" s="296">
        <v>3640</v>
      </c>
      <c r="G261" s="297">
        <v>145000</v>
      </c>
      <c r="H261" s="298">
        <f t="shared" si="3"/>
        <v>152250</v>
      </c>
    </row>
    <row r="262" spans="1:8" x14ac:dyDescent="0.2">
      <c r="A262" s="293" t="s">
        <v>395</v>
      </c>
      <c r="B262" s="488">
        <v>15</v>
      </c>
      <c r="C262" s="488">
        <v>15</v>
      </c>
      <c r="D262" s="294" t="s">
        <v>452</v>
      </c>
      <c r="E262" s="295">
        <v>14607</v>
      </c>
      <c r="F262" s="296">
        <v>7992</v>
      </c>
      <c r="G262" s="297">
        <v>131000</v>
      </c>
      <c r="H262" s="298">
        <f t="shared" si="3"/>
        <v>137550</v>
      </c>
    </row>
    <row r="263" spans="1:8" x14ac:dyDescent="0.2">
      <c r="A263" s="293" t="s">
        <v>594</v>
      </c>
      <c r="B263" s="488">
        <v>52</v>
      </c>
      <c r="C263" s="488">
        <v>52</v>
      </c>
      <c r="D263" s="294" t="s">
        <v>475</v>
      </c>
      <c r="E263" s="295">
        <v>14607</v>
      </c>
      <c r="F263" s="296">
        <v>1463</v>
      </c>
      <c r="G263" s="297">
        <v>59000</v>
      </c>
      <c r="H263" s="298">
        <f t="shared" ref="H263:H326" si="4">G263*1.05</f>
        <v>61950</v>
      </c>
    </row>
    <row r="264" spans="1:8" x14ac:dyDescent="0.2">
      <c r="A264" s="293" t="s">
        <v>595</v>
      </c>
      <c r="B264" s="488">
        <v>191</v>
      </c>
      <c r="C264" s="488">
        <v>201</v>
      </c>
      <c r="D264" s="294" t="s">
        <v>420</v>
      </c>
      <c r="E264" s="295">
        <v>14604</v>
      </c>
      <c r="F264" s="296">
        <v>18554</v>
      </c>
      <c r="G264" s="297">
        <v>261000</v>
      </c>
      <c r="H264" s="298">
        <f t="shared" si="4"/>
        <v>274050</v>
      </c>
    </row>
    <row r="265" spans="1:8" x14ac:dyDescent="0.2">
      <c r="A265" s="293" t="s">
        <v>597</v>
      </c>
      <c r="B265" s="488">
        <v>681</v>
      </c>
      <c r="C265" s="488">
        <v>685</v>
      </c>
      <c r="D265" s="294" t="s">
        <v>394</v>
      </c>
      <c r="E265" s="295">
        <v>14607</v>
      </c>
      <c r="F265" s="296">
        <v>7867</v>
      </c>
      <c r="G265" s="297">
        <v>240000</v>
      </c>
      <c r="H265" s="298">
        <f t="shared" si="4"/>
        <v>252000</v>
      </c>
    </row>
    <row r="266" spans="1:8" x14ac:dyDescent="0.2">
      <c r="A266" s="293" t="s">
        <v>598</v>
      </c>
      <c r="B266" s="488">
        <v>117</v>
      </c>
      <c r="C266" s="488">
        <v>117</v>
      </c>
      <c r="D266" s="294" t="s">
        <v>368</v>
      </c>
      <c r="E266" s="295">
        <v>14607</v>
      </c>
      <c r="F266" s="296">
        <v>718</v>
      </c>
      <c r="G266" s="297">
        <v>1100</v>
      </c>
      <c r="H266" s="298">
        <f t="shared" si="4"/>
        <v>1155</v>
      </c>
    </row>
    <row r="267" spans="1:8" x14ac:dyDescent="0.2">
      <c r="A267" s="293" t="s">
        <v>599</v>
      </c>
      <c r="B267" s="488">
        <v>381</v>
      </c>
      <c r="C267" s="488">
        <v>381</v>
      </c>
      <c r="D267" s="294" t="s">
        <v>415</v>
      </c>
      <c r="E267" s="295">
        <v>14607</v>
      </c>
      <c r="F267" s="296">
        <v>3130</v>
      </c>
      <c r="G267" s="297">
        <v>100000</v>
      </c>
      <c r="H267" s="298">
        <f t="shared" si="4"/>
        <v>105000</v>
      </c>
    </row>
    <row r="268" spans="1:8" x14ac:dyDescent="0.2">
      <c r="A268" s="293" t="s">
        <v>600</v>
      </c>
      <c r="B268" s="488">
        <v>209</v>
      </c>
      <c r="C268" s="488">
        <v>209</v>
      </c>
      <c r="D268" s="294" t="s">
        <v>348</v>
      </c>
      <c r="E268" s="295">
        <v>14607</v>
      </c>
      <c r="F268" s="296">
        <v>7500</v>
      </c>
      <c r="G268" s="297">
        <v>13100</v>
      </c>
      <c r="H268" s="298">
        <f t="shared" si="4"/>
        <v>13755</v>
      </c>
    </row>
    <row r="269" spans="1:8" x14ac:dyDescent="0.2">
      <c r="A269" s="293" t="s">
        <v>601</v>
      </c>
      <c r="B269" s="488">
        <v>417</v>
      </c>
      <c r="C269" s="488">
        <v>417</v>
      </c>
      <c r="D269" s="294" t="s">
        <v>330</v>
      </c>
      <c r="E269" s="295">
        <v>14607</v>
      </c>
      <c r="F269" s="296">
        <v>6120</v>
      </c>
      <c r="G269" s="297">
        <v>91800</v>
      </c>
      <c r="H269" s="298">
        <f t="shared" si="4"/>
        <v>96390</v>
      </c>
    </row>
    <row r="270" spans="1:8" x14ac:dyDescent="0.2">
      <c r="A270" s="293" t="s">
        <v>602</v>
      </c>
      <c r="B270" s="488">
        <v>60</v>
      </c>
      <c r="C270" s="488">
        <v>60</v>
      </c>
      <c r="D270" s="294" t="s">
        <v>410</v>
      </c>
      <c r="E270" s="295">
        <v>14605</v>
      </c>
      <c r="F270" s="296">
        <v>4010</v>
      </c>
      <c r="G270" s="297">
        <v>261900</v>
      </c>
      <c r="H270" s="298">
        <f t="shared" si="4"/>
        <v>274995</v>
      </c>
    </row>
    <row r="271" spans="1:8" x14ac:dyDescent="0.2">
      <c r="A271" s="293" t="s">
        <v>603</v>
      </c>
      <c r="B271" s="488">
        <v>392</v>
      </c>
      <c r="C271" s="488">
        <v>392</v>
      </c>
      <c r="D271" s="294" t="s">
        <v>415</v>
      </c>
      <c r="E271" s="295">
        <v>14607</v>
      </c>
      <c r="F271" s="296">
        <v>4658</v>
      </c>
      <c r="G271" s="297">
        <v>105000</v>
      </c>
      <c r="H271" s="298">
        <f t="shared" si="4"/>
        <v>110250</v>
      </c>
    </row>
    <row r="272" spans="1:8" x14ac:dyDescent="0.2">
      <c r="A272" s="293" t="s">
        <v>604</v>
      </c>
      <c r="B272" s="488">
        <v>427</v>
      </c>
      <c r="C272" s="488">
        <v>427</v>
      </c>
      <c r="D272" s="294" t="s">
        <v>415</v>
      </c>
      <c r="E272" s="295">
        <v>14607</v>
      </c>
      <c r="F272" s="296">
        <v>3883</v>
      </c>
      <c r="G272" s="297">
        <v>114900</v>
      </c>
      <c r="H272" s="298">
        <f t="shared" si="4"/>
        <v>120645</v>
      </c>
    </row>
    <row r="273" spans="1:8" x14ac:dyDescent="0.2">
      <c r="A273" s="293" t="s">
        <v>605</v>
      </c>
      <c r="B273" s="488">
        <v>230</v>
      </c>
      <c r="C273" s="488">
        <v>250</v>
      </c>
      <c r="D273" s="294" t="s">
        <v>330</v>
      </c>
      <c r="E273" s="295">
        <v>14607</v>
      </c>
      <c r="F273" s="296">
        <v>324304</v>
      </c>
      <c r="G273" s="297">
        <v>150000</v>
      </c>
      <c r="H273" s="298">
        <f t="shared" si="4"/>
        <v>157500</v>
      </c>
    </row>
    <row r="274" spans="1:8" x14ac:dyDescent="0.2">
      <c r="A274" s="293" t="s">
        <v>606</v>
      </c>
      <c r="B274" s="488">
        <v>350</v>
      </c>
      <c r="C274" s="488">
        <v>350</v>
      </c>
      <c r="D274" s="294" t="s">
        <v>420</v>
      </c>
      <c r="E274" s="295">
        <v>14604</v>
      </c>
      <c r="F274" s="296">
        <v>9927</v>
      </c>
      <c r="G274" s="297">
        <v>234000</v>
      </c>
      <c r="H274" s="298">
        <f t="shared" si="4"/>
        <v>245700</v>
      </c>
    </row>
    <row r="275" spans="1:8" x14ac:dyDescent="0.2">
      <c r="A275" s="293" t="s">
        <v>507</v>
      </c>
      <c r="B275" s="488">
        <v>407</v>
      </c>
      <c r="C275" s="488">
        <v>407</v>
      </c>
      <c r="D275" s="294" t="s">
        <v>330</v>
      </c>
      <c r="E275" s="295">
        <v>14607</v>
      </c>
      <c r="F275" s="296">
        <v>6000</v>
      </c>
      <c r="G275" s="297">
        <v>85000</v>
      </c>
      <c r="H275" s="298">
        <f t="shared" si="4"/>
        <v>89250</v>
      </c>
    </row>
    <row r="276" spans="1:8" x14ac:dyDescent="0.2">
      <c r="A276" s="293" t="s">
        <v>607</v>
      </c>
      <c r="B276" s="488">
        <v>397</v>
      </c>
      <c r="C276" s="294" t="s">
        <v>608</v>
      </c>
      <c r="D276" s="294" t="s">
        <v>330</v>
      </c>
      <c r="E276" s="295">
        <v>14607</v>
      </c>
      <c r="F276" s="296">
        <v>1195</v>
      </c>
      <c r="G276" s="297">
        <v>105000</v>
      </c>
      <c r="H276" s="298">
        <f t="shared" si="4"/>
        <v>110250</v>
      </c>
    </row>
    <row r="277" spans="1:8" x14ac:dyDescent="0.2">
      <c r="A277" s="293" t="s">
        <v>609</v>
      </c>
      <c r="B277" s="488">
        <v>44</v>
      </c>
      <c r="C277" s="488">
        <v>44</v>
      </c>
      <c r="D277" s="294" t="s">
        <v>361</v>
      </c>
      <c r="E277" s="295">
        <v>14607</v>
      </c>
      <c r="F277" s="296">
        <v>6276</v>
      </c>
      <c r="G277" s="297">
        <v>116200</v>
      </c>
      <c r="H277" s="298">
        <f t="shared" si="4"/>
        <v>122010</v>
      </c>
    </row>
    <row r="278" spans="1:8" x14ac:dyDescent="0.2">
      <c r="A278" s="293" t="s">
        <v>610</v>
      </c>
      <c r="B278" s="488">
        <v>247</v>
      </c>
      <c r="C278" s="488">
        <v>247</v>
      </c>
      <c r="D278" s="294" t="s">
        <v>348</v>
      </c>
      <c r="E278" s="295">
        <v>14607</v>
      </c>
      <c r="F278" s="296">
        <v>8250</v>
      </c>
      <c r="G278" s="297">
        <v>150000</v>
      </c>
      <c r="H278" s="298">
        <f t="shared" si="4"/>
        <v>157500</v>
      </c>
    </row>
    <row r="279" spans="1:8" x14ac:dyDescent="0.2">
      <c r="A279" s="293" t="s">
        <v>413</v>
      </c>
      <c r="B279" s="488">
        <v>237</v>
      </c>
      <c r="C279" s="488">
        <v>237</v>
      </c>
      <c r="D279" s="294" t="s">
        <v>381</v>
      </c>
      <c r="E279" s="295">
        <v>14605</v>
      </c>
      <c r="F279" s="296">
        <v>6666</v>
      </c>
      <c r="G279" s="297">
        <v>54000</v>
      </c>
      <c r="H279" s="298">
        <f t="shared" si="4"/>
        <v>56700</v>
      </c>
    </row>
    <row r="280" spans="1:8" x14ac:dyDescent="0.2">
      <c r="A280" s="293" t="s">
        <v>611</v>
      </c>
      <c r="B280" s="488">
        <v>229</v>
      </c>
      <c r="C280" s="488">
        <v>229</v>
      </c>
      <c r="D280" s="294" t="s">
        <v>381</v>
      </c>
      <c r="E280" s="295">
        <v>14605</v>
      </c>
      <c r="F280" s="296">
        <v>3455</v>
      </c>
      <c r="G280" s="297">
        <v>35000</v>
      </c>
      <c r="H280" s="298">
        <f t="shared" si="4"/>
        <v>36750</v>
      </c>
    </row>
    <row r="281" spans="1:8" x14ac:dyDescent="0.2">
      <c r="A281" s="293" t="s">
        <v>466</v>
      </c>
      <c r="B281" s="488">
        <v>241</v>
      </c>
      <c r="C281" s="488">
        <v>241</v>
      </c>
      <c r="D281" s="294" t="s">
        <v>381</v>
      </c>
      <c r="E281" s="295">
        <v>14605</v>
      </c>
      <c r="F281" s="296">
        <v>3504</v>
      </c>
      <c r="G281" s="297">
        <v>37700</v>
      </c>
      <c r="H281" s="298">
        <f t="shared" si="4"/>
        <v>39585</v>
      </c>
    </row>
    <row r="282" spans="1:8" x14ac:dyDescent="0.2">
      <c r="A282" s="293" t="s">
        <v>612</v>
      </c>
      <c r="B282" s="488">
        <v>245</v>
      </c>
      <c r="C282" s="488">
        <v>245</v>
      </c>
      <c r="D282" s="294" t="s">
        <v>381</v>
      </c>
      <c r="E282" s="295">
        <v>14605</v>
      </c>
      <c r="F282" s="296">
        <v>4494</v>
      </c>
      <c r="G282" s="297">
        <v>42100</v>
      </c>
      <c r="H282" s="298">
        <f t="shared" si="4"/>
        <v>44205</v>
      </c>
    </row>
    <row r="283" spans="1:8" x14ac:dyDescent="0.2">
      <c r="A283" s="293" t="s">
        <v>613</v>
      </c>
      <c r="B283" s="488">
        <v>740</v>
      </c>
      <c r="C283" s="488">
        <v>740</v>
      </c>
      <c r="D283" s="294" t="s">
        <v>328</v>
      </c>
      <c r="E283" s="295">
        <v>14605</v>
      </c>
      <c r="F283" s="296">
        <v>12000</v>
      </c>
      <c r="G283" s="297">
        <v>50000</v>
      </c>
      <c r="H283" s="298">
        <f t="shared" si="4"/>
        <v>52500</v>
      </c>
    </row>
    <row r="284" spans="1:8" x14ac:dyDescent="0.2">
      <c r="A284" s="293" t="s">
        <v>340</v>
      </c>
      <c r="B284" s="488">
        <v>98</v>
      </c>
      <c r="C284" s="488">
        <v>98</v>
      </c>
      <c r="D284" s="294" t="s">
        <v>363</v>
      </c>
      <c r="E284" s="295">
        <v>14605</v>
      </c>
      <c r="F284" s="296">
        <v>3616</v>
      </c>
      <c r="G284" s="297">
        <v>38900</v>
      </c>
      <c r="H284" s="298">
        <f t="shared" si="4"/>
        <v>40845</v>
      </c>
    </row>
    <row r="285" spans="1:8" x14ac:dyDescent="0.2">
      <c r="A285" s="293" t="s">
        <v>614</v>
      </c>
      <c r="B285" s="488">
        <v>485</v>
      </c>
      <c r="C285" s="488">
        <v>485</v>
      </c>
      <c r="D285" s="294" t="s">
        <v>415</v>
      </c>
      <c r="E285" s="295">
        <v>14607</v>
      </c>
      <c r="F285" s="296">
        <v>41708</v>
      </c>
      <c r="G285" s="297">
        <v>83400</v>
      </c>
      <c r="H285" s="298">
        <f t="shared" si="4"/>
        <v>87570</v>
      </c>
    </row>
    <row r="286" spans="1:8" x14ac:dyDescent="0.2">
      <c r="A286" s="293" t="s">
        <v>615</v>
      </c>
      <c r="B286" s="488">
        <v>46</v>
      </c>
      <c r="C286" s="488">
        <v>48</v>
      </c>
      <c r="D286" s="294" t="s">
        <v>415</v>
      </c>
      <c r="E286" s="295">
        <v>14607</v>
      </c>
      <c r="F286" s="296">
        <v>4000</v>
      </c>
      <c r="G286" s="297">
        <v>48000</v>
      </c>
      <c r="H286" s="298">
        <f t="shared" si="4"/>
        <v>50400</v>
      </c>
    </row>
    <row r="287" spans="1:8" x14ac:dyDescent="0.2">
      <c r="A287" s="293" t="s">
        <v>616</v>
      </c>
      <c r="B287" s="488">
        <v>153</v>
      </c>
      <c r="C287" s="488">
        <v>153</v>
      </c>
      <c r="D287" s="294" t="s">
        <v>368</v>
      </c>
      <c r="E287" s="295">
        <v>14607</v>
      </c>
      <c r="F287" s="296">
        <v>1600</v>
      </c>
      <c r="G287" s="297">
        <v>90000</v>
      </c>
      <c r="H287" s="298">
        <f t="shared" si="4"/>
        <v>94500</v>
      </c>
    </row>
    <row r="288" spans="1:8" x14ac:dyDescent="0.2">
      <c r="A288" s="293" t="s">
        <v>617</v>
      </c>
      <c r="B288" s="488">
        <v>400</v>
      </c>
      <c r="C288" s="488">
        <v>404</v>
      </c>
      <c r="D288" s="294" t="s">
        <v>420</v>
      </c>
      <c r="E288" s="295">
        <v>14607</v>
      </c>
      <c r="F288" s="296">
        <v>97367</v>
      </c>
      <c r="G288" s="297">
        <v>875000</v>
      </c>
      <c r="H288" s="298">
        <f t="shared" si="4"/>
        <v>918750</v>
      </c>
    </row>
    <row r="289" spans="1:8" x14ac:dyDescent="0.2">
      <c r="A289" s="293" t="s">
        <v>551</v>
      </c>
      <c r="B289" s="488">
        <v>344</v>
      </c>
      <c r="C289" s="488">
        <v>344</v>
      </c>
      <c r="D289" s="294" t="s">
        <v>550</v>
      </c>
      <c r="E289" s="295">
        <v>14607</v>
      </c>
      <c r="F289" s="296">
        <v>3969</v>
      </c>
      <c r="G289" s="297">
        <v>87800</v>
      </c>
      <c r="H289" s="298">
        <f t="shared" si="4"/>
        <v>92190</v>
      </c>
    </row>
    <row r="290" spans="1:8" x14ac:dyDescent="0.2">
      <c r="A290" s="293" t="s">
        <v>618</v>
      </c>
      <c r="B290" s="488">
        <v>201</v>
      </c>
      <c r="C290" s="488">
        <v>203</v>
      </c>
      <c r="D290" s="294" t="s">
        <v>377</v>
      </c>
      <c r="E290" s="295">
        <v>14607</v>
      </c>
      <c r="F290" s="296">
        <v>5801</v>
      </c>
      <c r="G290" s="297">
        <v>36000</v>
      </c>
      <c r="H290" s="298">
        <f t="shared" si="4"/>
        <v>37800</v>
      </c>
    </row>
    <row r="291" spans="1:8" x14ac:dyDescent="0.2">
      <c r="A291" s="293" t="s">
        <v>349</v>
      </c>
      <c r="B291" s="488">
        <v>34</v>
      </c>
      <c r="C291" s="488">
        <v>34</v>
      </c>
      <c r="D291" s="294" t="s">
        <v>443</v>
      </c>
      <c r="E291" s="295">
        <v>14607</v>
      </c>
      <c r="F291" s="296">
        <v>3080</v>
      </c>
      <c r="G291" s="297">
        <v>93000</v>
      </c>
      <c r="H291" s="298">
        <f t="shared" si="4"/>
        <v>97650</v>
      </c>
    </row>
    <row r="292" spans="1:8" x14ac:dyDescent="0.2">
      <c r="A292" s="293" t="s">
        <v>619</v>
      </c>
      <c r="B292" s="488">
        <v>302</v>
      </c>
      <c r="C292" s="488">
        <v>302</v>
      </c>
      <c r="D292" s="294" t="s">
        <v>365</v>
      </c>
      <c r="E292" s="295">
        <v>14605</v>
      </c>
      <c r="F292" s="296">
        <v>3759</v>
      </c>
      <c r="G292" s="297">
        <v>1000</v>
      </c>
      <c r="H292" s="298">
        <f t="shared" si="4"/>
        <v>1050</v>
      </c>
    </row>
    <row r="293" spans="1:8" x14ac:dyDescent="0.2">
      <c r="A293" s="293" t="s">
        <v>620</v>
      </c>
      <c r="B293" s="488">
        <v>10</v>
      </c>
      <c r="C293" s="488">
        <v>7</v>
      </c>
      <c r="D293" s="294" t="s">
        <v>495</v>
      </c>
      <c r="E293" s="295">
        <v>14605</v>
      </c>
      <c r="F293" s="296">
        <v>4307</v>
      </c>
      <c r="G293" s="297">
        <v>263800</v>
      </c>
      <c r="H293" s="298">
        <f t="shared" si="4"/>
        <v>276990</v>
      </c>
    </row>
    <row r="294" spans="1:8" x14ac:dyDescent="0.2">
      <c r="A294" s="293" t="s">
        <v>621</v>
      </c>
      <c r="B294" s="488">
        <v>3</v>
      </c>
      <c r="C294" s="488">
        <v>3</v>
      </c>
      <c r="D294" s="294" t="s">
        <v>452</v>
      </c>
      <c r="E294" s="295">
        <v>14607</v>
      </c>
      <c r="F294" s="296">
        <v>2960</v>
      </c>
      <c r="G294" s="297">
        <v>10600</v>
      </c>
      <c r="H294" s="298">
        <f t="shared" si="4"/>
        <v>11130</v>
      </c>
    </row>
    <row r="295" spans="1:8" x14ac:dyDescent="0.2">
      <c r="A295" s="293" t="s">
        <v>519</v>
      </c>
      <c r="B295" s="488">
        <v>37</v>
      </c>
      <c r="C295" s="488">
        <v>37</v>
      </c>
      <c r="D295" s="294" t="s">
        <v>377</v>
      </c>
      <c r="E295" s="295">
        <v>14607</v>
      </c>
      <c r="F295" s="296">
        <v>5119</v>
      </c>
      <c r="G295" s="297">
        <v>275000</v>
      </c>
      <c r="H295" s="298">
        <f t="shared" si="4"/>
        <v>288750</v>
      </c>
    </row>
    <row r="296" spans="1:8" x14ac:dyDescent="0.2">
      <c r="A296" s="293" t="s">
        <v>386</v>
      </c>
      <c r="B296" s="488">
        <v>236</v>
      </c>
      <c r="C296" s="488">
        <v>236</v>
      </c>
      <c r="D296" s="294" t="s">
        <v>352</v>
      </c>
      <c r="E296" s="295">
        <v>14607</v>
      </c>
      <c r="F296" s="296">
        <v>4834</v>
      </c>
      <c r="G296" s="297">
        <v>22500</v>
      </c>
      <c r="H296" s="298">
        <f t="shared" si="4"/>
        <v>23625</v>
      </c>
    </row>
    <row r="297" spans="1:8" x14ac:dyDescent="0.2">
      <c r="A297" s="293" t="s">
        <v>622</v>
      </c>
      <c r="B297" s="488">
        <v>115</v>
      </c>
      <c r="C297" s="488">
        <v>115</v>
      </c>
      <c r="D297" s="294" t="s">
        <v>354</v>
      </c>
      <c r="E297" s="295">
        <v>14607</v>
      </c>
      <c r="F297" s="296">
        <v>5550</v>
      </c>
      <c r="G297" s="297">
        <v>27500</v>
      </c>
      <c r="H297" s="298">
        <f t="shared" si="4"/>
        <v>28875</v>
      </c>
    </row>
    <row r="298" spans="1:8" x14ac:dyDescent="0.2">
      <c r="A298" s="293" t="s">
        <v>580</v>
      </c>
      <c r="B298" s="488">
        <v>40</v>
      </c>
      <c r="C298" s="488">
        <v>40</v>
      </c>
      <c r="D298" s="294" t="s">
        <v>363</v>
      </c>
      <c r="E298" s="295">
        <v>14604</v>
      </c>
      <c r="F298" s="296">
        <v>31278</v>
      </c>
      <c r="G298" s="297">
        <v>7684000</v>
      </c>
      <c r="H298" s="298">
        <f t="shared" si="4"/>
        <v>8068200</v>
      </c>
    </row>
    <row r="299" spans="1:8" x14ac:dyDescent="0.2">
      <c r="A299" s="293" t="s">
        <v>623</v>
      </c>
      <c r="B299" s="488">
        <v>27</v>
      </c>
      <c r="C299" s="488">
        <v>27</v>
      </c>
      <c r="D299" s="294" t="s">
        <v>361</v>
      </c>
      <c r="E299" s="295">
        <v>14607</v>
      </c>
      <c r="F299" s="296">
        <v>3600</v>
      </c>
      <c r="G299" s="297">
        <v>30000</v>
      </c>
      <c r="H299" s="298">
        <f t="shared" si="4"/>
        <v>31500</v>
      </c>
    </row>
    <row r="300" spans="1:8" x14ac:dyDescent="0.2">
      <c r="A300" s="293" t="s">
        <v>624</v>
      </c>
      <c r="B300" s="488">
        <v>359</v>
      </c>
      <c r="C300" s="488">
        <v>369</v>
      </c>
      <c r="D300" s="294" t="s">
        <v>330</v>
      </c>
      <c r="E300" s="295">
        <v>14607</v>
      </c>
      <c r="F300" s="296">
        <v>9699</v>
      </c>
      <c r="G300" s="297">
        <v>440000</v>
      </c>
      <c r="H300" s="298">
        <f t="shared" si="4"/>
        <v>462000</v>
      </c>
    </row>
    <row r="301" spans="1:8" x14ac:dyDescent="0.2">
      <c r="A301" s="293" t="s">
        <v>423</v>
      </c>
      <c r="B301" s="488">
        <v>24</v>
      </c>
      <c r="C301" s="488">
        <v>24</v>
      </c>
      <c r="D301" s="294" t="s">
        <v>625</v>
      </c>
      <c r="E301" s="295">
        <v>14607</v>
      </c>
      <c r="F301" s="296">
        <v>6663</v>
      </c>
      <c r="G301" s="297">
        <v>30000</v>
      </c>
      <c r="H301" s="298">
        <f t="shared" si="4"/>
        <v>31500</v>
      </c>
    </row>
    <row r="302" spans="1:8" x14ac:dyDescent="0.2">
      <c r="A302" s="293" t="s">
        <v>626</v>
      </c>
      <c r="B302" s="488">
        <v>277</v>
      </c>
      <c r="C302" s="488">
        <v>279</v>
      </c>
      <c r="D302" s="294" t="s">
        <v>330</v>
      </c>
      <c r="E302" s="295">
        <v>14607</v>
      </c>
      <c r="F302" s="296">
        <v>22214</v>
      </c>
      <c r="G302" s="297">
        <v>2750000</v>
      </c>
      <c r="H302" s="298">
        <f t="shared" si="4"/>
        <v>2887500</v>
      </c>
    </row>
    <row r="303" spans="1:8" x14ac:dyDescent="0.2">
      <c r="A303" s="293" t="s">
        <v>627</v>
      </c>
      <c r="B303" s="488">
        <v>21</v>
      </c>
      <c r="C303" s="488">
        <v>23</v>
      </c>
      <c r="D303" s="294" t="s">
        <v>499</v>
      </c>
      <c r="E303" s="295">
        <v>14607</v>
      </c>
      <c r="F303" s="296">
        <v>4073</v>
      </c>
      <c r="G303" s="297">
        <v>119200</v>
      </c>
      <c r="H303" s="298">
        <f t="shared" si="4"/>
        <v>125160</v>
      </c>
    </row>
    <row r="304" spans="1:8" x14ac:dyDescent="0.2">
      <c r="A304" s="293" t="s">
        <v>458</v>
      </c>
      <c r="B304" s="488">
        <v>39</v>
      </c>
      <c r="C304" s="488">
        <v>39</v>
      </c>
      <c r="D304" s="294" t="s">
        <v>350</v>
      </c>
      <c r="E304" s="295">
        <v>14607</v>
      </c>
      <c r="F304" s="296">
        <v>3196</v>
      </c>
      <c r="G304" s="297">
        <v>115000</v>
      </c>
      <c r="H304" s="298">
        <f t="shared" si="4"/>
        <v>120750</v>
      </c>
    </row>
    <row r="305" spans="1:8" x14ac:dyDescent="0.2">
      <c r="A305" s="293" t="s">
        <v>628</v>
      </c>
      <c r="B305" s="488">
        <v>364</v>
      </c>
      <c r="C305" s="488">
        <v>370</v>
      </c>
      <c r="D305" s="294" t="s">
        <v>420</v>
      </c>
      <c r="E305" s="295">
        <v>14604</v>
      </c>
      <c r="F305" s="296">
        <v>11443</v>
      </c>
      <c r="G305" s="297">
        <v>650000</v>
      </c>
      <c r="H305" s="298">
        <f t="shared" si="4"/>
        <v>682500</v>
      </c>
    </row>
    <row r="306" spans="1:8" x14ac:dyDescent="0.2">
      <c r="A306" s="293" t="s">
        <v>629</v>
      </c>
      <c r="B306" s="488">
        <v>324</v>
      </c>
      <c r="C306" s="488">
        <v>328</v>
      </c>
      <c r="D306" s="294" t="s">
        <v>420</v>
      </c>
      <c r="E306" s="295">
        <v>14604</v>
      </c>
      <c r="F306" s="296">
        <v>2266</v>
      </c>
      <c r="G306" s="297">
        <v>120000</v>
      </c>
      <c r="H306" s="298">
        <f t="shared" si="4"/>
        <v>126000</v>
      </c>
    </row>
    <row r="307" spans="1:8" x14ac:dyDescent="0.2">
      <c r="A307" s="293" t="s">
        <v>513</v>
      </c>
      <c r="B307" s="488">
        <v>301</v>
      </c>
      <c r="C307" s="488">
        <v>301</v>
      </c>
      <c r="D307" s="294" t="s">
        <v>330</v>
      </c>
      <c r="E307" s="295">
        <v>14607</v>
      </c>
      <c r="F307" s="296">
        <v>14632</v>
      </c>
      <c r="G307" s="297">
        <v>73000</v>
      </c>
      <c r="H307" s="298">
        <f t="shared" si="4"/>
        <v>76650</v>
      </c>
    </row>
    <row r="308" spans="1:8" x14ac:dyDescent="0.2">
      <c r="A308" s="293" t="s">
        <v>630</v>
      </c>
      <c r="B308" s="488">
        <v>291</v>
      </c>
      <c r="C308" s="488">
        <v>291</v>
      </c>
      <c r="D308" s="294" t="s">
        <v>330</v>
      </c>
      <c r="E308" s="295">
        <v>14607</v>
      </c>
      <c r="F308" s="296">
        <v>6627</v>
      </c>
      <c r="G308" s="297">
        <v>325000</v>
      </c>
      <c r="H308" s="298">
        <f t="shared" si="4"/>
        <v>341250</v>
      </c>
    </row>
    <row r="309" spans="1:8" x14ac:dyDescent="0.2">
      <c r="A309" s="293" t="s">
        <v>522</v>
      </c>
      <c r="B309" s="488">
        <v>230</v>
      </c>
      <c r="C309" s="488">
        <v>230</v>
      </c>
      <c r="D309" s="294" t="s">
        <v>352</v>
      </c>
      <c r="E309" s="295">
        <v>14607</v>
      </c>
      <c r="F309" s="296">
        <v>4204</v>
      </c>
      <c r="G309" s="297">
        <v>160000</v>
      </c>
      <c r="H309" s="298">
        <f t="shared" si="4"/>
        <v>168000</v>
      </c>
    </row>
    <row r="310" spans="1:8" x14ac:dyDescent="0.2">
      <c r="A310" s="293" t="s">
        <v>578</v>
      </c>
      <c r="B310" s="488">
        <v>25</v>
      </c>
      <c r="C310" s="488">
        <v>25</v>
      </c>
      <c r="D310" s="294" t="s">
        <v>475</v>
      </c>
      <c r="E310" s="295">
        <v>14607</v>
      </c>
      <c r="F310" s="296">
        <v>2572</v>
      </c>
      <c r="G310" s="297">
        <v>10000</v>
      </c>
      <c r="H310" s="298">
        <f t="shared" si="4"/>
        <v>10500</v>
      </c>
    </row>
    <row r="311" spans="1:8" x14ac:dyDescent="0.2">
      <c r="A311" s="293" t="s">
        <v>631</v>
      </c>
      <c r="B311" s="488">
        <v>127</v>
      </c>
      <c r="C311" s="488">
        <v>127</v>
      </c>
      <c r="D311" s="294" t="s">
        <v>330</v>
      </c>
      <c r="E311" s="295">
        <v>14607</v>
      </c>
      <c r="F311" s="296">
        <v>1243</v>
      </c>
      <c r="G311" s="297">
        <v>1700</v>
      </c>
      <c r="H311" s="298">
        <f t="shared" si="4"/>
        <v>1785</v>
      </c>
    </row>
    <row r="312" spans="1:8" x14ac:dyDescent="0.2">
      <c r="A312" s="293" t="s">
        <v>632</v>
      </c>
      <c r="B312" s="488">
        <v>345</v>
      </c>
      <c r="C312" s="488">
        <v>345</v>
      </c>
      <c r="D312" s="294" t="s">
        <v>332</v>
      </c>
      <c r="E312" s="295">
        <v>14607</v>
      </c>
      <c r="F312" s="296">
        <v>3974</v>
      </c>
      <c r="G312" s="297">
        <v>19500</v>
      </c>
      <c r="H312" s="298">
        <f t="shared" si="4"/>
        <v>20475</v>
      </c>
    </row>
    <row r="313" spans="1:8" x14ac:dyDescent="0.2">
      <c r="A313" s="293" t="s">
        <v>633</v>
      </c>
      <c r="B313" s="488">
        <v>185</v>
      </c>
      <c r="C313" s="488">
        <v>185</v>
      </c>
      <c r="D313" s="294" t="s">
        <v>330</v>
      </c>
      <c r="E313" s="295">
        <v>14607</v>
      </c>
      <c r="F313" s="296">
        <v>21673</v>
      </c>
      <c r="G313" s="297">
        <v>615000</v>
      </c>
      <c r="H313" s="298">
        <f t="shared" si="4"/>
        <v>645750</v>
      </c>
    </row>
    <row r="314" spans="1:8" x14ac:dyDescent="0.2">
      <c r="A314" s="293" t="s">
        <v>501</v>
      </c>
      <c r="B314" s="488">
        <v>62</v>
      </c>
      <c r="C314" s="488">
        <v>62</v>
      </c>
      <c r="D314" s="294" t="s">
        <v>354</v>
      </c>
      <c r="E314" s="295">
        <v>14607</v>
      </c>
      <c r="F314" s="296">
        <v>3886</v>
      </c>
      <c r="G314" s="297">
        <v>119600</v>
      </c>
      <c r="H314" s="298">
        <f t="shared" si="4"/>
        <v>125580</v>
      </c>
    </row>
    <row r="315" spans="1:8" x14ac:dyDescent="0.2">
      <c r="A315" s="293" t="s">
        <v>634</v>
      </c>
      <c r="B315" s="488">
        <v>125</v>
      </c>
      <c r="C315" s="488">
        <v>125</v>
      </c>
      <c r="D315" s="294" t="s">
        <v>348</v>
      </c>
      <c r="E315" s="295">
        <v>14607</v>
      </c>
      <c r="F315" s="296">
        <v>5169</v>
      </c>
      <c r="G315" s="297">
        <v>170000</v>
      </c>
      <c r="H315" s="298">
        <f t="shared" si="4"/>
        <v>178500</v>
      </c>
    </row>
    <row r="316" spans="1:8" x14ac:dyDescent="0.2">
      <c r="A316" s="293" t="s">
        <v>635</v>
      </c>
      <c r="B316" s="488">
        <v>355</v>
      </c>
      <c r="C316" s="488">
        <v>365</v>
      </c>
      <c r="D316" s="294" t="s">
        <v>420</v>
      </c>
      <c r="E316" s="295">
        <v>14604</v>
      </c>
      <c r="F316" s="296">
        <v>15464</v>
      </c>
      <c r="G316" s="297">
        <v>1675000</v>
      </c>
      <c r="H316" s="298">
        <f t="shared" si="4"/>
        <v>1758750</v>
      </c>
    </row>
    <row r="317" spans="1:8" x14ac:dyDescent="0.2">
      <c r="A317" s="293" t="s">
        <v>636</v>
      </c>
      <c r="B317" s="488">
        <v>74</v>
      </c>
      <c r="C317" s="488">
        <v>76</v>
      </c>
      <c r="D317" s="294" t="s">
        <v>339</v>
      </c>
      <c r="E317" s="295">
        <v>14607</v>
      </c>
      <c r="F317" s="296">
        <v>5966</v>
      </c>
      <c r="G317" s="297">
        <v>160000</v>
      </c>
      <c r="H317" s="298">
        <f t="shared" si="4"/>
        <v>168000</v>
      </c>
    </row>
    <row r="318" spans="1:8" x14ac:dyDescent="0.2">
      <c r="A318" s="293" t="s">
        <v>637</v>
      </c>
      <c r="B318" s="488">
        <v>653</v>
      </c>
      <c r="C318" s="488">
        <v>653</v>
      </c>
      <c r="D318" s="294" t="s">
        <v>394</v>
      </c>
      <c r="E318" s="295">
        <v>14607</v>
      </c>
      <c r="F318" s="296">
        <v>7742</v>
      </c>
      <c r="G318" s="297">
        <v>140100</v>
      </c>
      <c r="H318" s="298">
        <f t="shared" si="4"/>
        <v>147105</v>
      </c>
    </row>
    <row r="319" spans="1:8" x14ac:dyDescent="0.2">
      <c r="A319" s="293" t="s">
        <v>638</v>
      </c>
      <c r="B319" s="488">
        <v>38</v>
      </c>
      <c r="C319" s="488">
        <v>38</v>
      </c>
      <c r="D319" s="294" t="s">
        <v>455</v>
      </c>
      <c r="E319" s="295">
        <v>14607</v>
      </c>
      <c r="F319" s="296">
        <v>3655</v>
      </c>
      <c r="G319" s="297">
        <v>79000</v>
      </c>
      <c r="H319" s="298">
        <f t="shared" si="4"/>
        <v>82950</v>
      </c>
    </row>
    <row r="320" spans="1:8" x14ac:dyDescent="0.2">
      <c r="A320" s="293" t="s">
        <v>639</v>
      </c>
      <c r="B320" s="488">
        <v>329</v>
      </c>
      <c r="C320" s="488">
        <v>329</v>
      </c>
      <c r="D320" s="294" t="s">
        <v>330</v>
      </c>
      <c r="E320" s="295">
        <v>14607</v>
      </c>
      <c r="F320" s="296">
        <v>5487</v>
      </c>
      <c r="G320" s="297">
        <v>40500</v>
      </c>
      <c r="H320" s="298">
        <f t="shared" si="4"/>
        <v>42525</v>
      </c>
    </row>
    <row r="321" spans="1:8" x14ac:dyDescent="0.2">
      <c r="A321" s="299" t="s">
        <v>458</v>
      </c>
      <c r="B321" s="489">
        <v>39</v>
      </c>
      <c r="C321" s="489">
        <v>39</v>
      </c>
      <c r="D321" s="300" t="s">
        <v>348</v>
      </c>
      <c r="E321" s="301">
        <v>14607</v>
      </c>
      <c r="F321" s="302">
        <v>6465</v>
      </c>
      <c r="G321" s="303">
        <v>12100</v>
      </c>
      <c r="H321" s="304">
        <f t="shared" si="4"/>
        <v>12705</v>
      </c>
    </row>
    <row r="322" spans="1:8" x14ac:dyDescent="0.2">
      <c r="A322" s="293" t="s">
        <v>640</v>
      </c>
      <c r="B322" s="488">
        <v>79</v>
      </c>
      <c r="C322" s="488">
        <v>79.5</v>
      </c>
      <c r="D322" s="294" t="s">
        <v>337</v>
      </c>
      <c r="E322" s="295">
        <v>14607</v>
      </c>
      <c r="F322" s="296">
        <v>3830</v>
      </c>
      <c r="G322" s="297">
        <v>135000</v>
      </c>
      <c r="H322" s="298">
        <f t="shared" si="4"/>
        <v>141750</v>
      </c>
    </row>
    <row r="323" spans="1:8" x14ac:dyDescent="0.2">
      <c r="A323" s="293" t="s">
        <v>502</v>
      </c>
      <c r="B323" s="488">
        <v>219</v>
      </c>
      <c r="C323" s="488">
        <v>219</v>
      </c>
      <c r="D323" s="294" t="s">
        <v>330</v>
      </c>
      <c r="E323" s="295">
        <v>14607</v>
      </c>
      <c r="F323" s="296">
        <v>7320</v>
      </c>
      <c r="G323" s="297">
        <v>160000</v>
      </c>
      <c r="H323" s="298">
        <f t="shared" si="4"/>
        <v>168000</v>
      </c>
    </row>
    <row r="324" spans="1:8" x14ac:dyDescent="0.2">
      <c r="A324" s="293" t="s">
        <v>641</v>
      </c>
      <c r="B324" s="488">
        <v>231</v>
      </c>
      <c r="C324" s="488">
        <v>231</v>
      </c>
      <c r="D324" s="294" t="s">
        <v>420</v>
      </c>
      <c r="E324" s="295">
        <v>14604</v>
      </c>
      <c r="F324" s="296">
        <v>50080</v>
      </c>
      <c r="G324" s="297">
        <v>4967000</v>
      </c>
      <c r="H324" s="298">
        <f t="shared" si="4"/>
        <v>5215350</v>
      </c>
    </row>
    <row r="325" spans="1:8" x14ac:dyDescent="0.2">
      <c r="A325" s="293" t="s">
        <v>642</v>
      </c>
      <c r="B325" s="488">
        <v>383</v>
      </c>
      <c r="C325" s="488">
        <v>383</v>
      </c>
      <c r="D325" s="294" t="s">
        <v>415</v>
      </c>
      <c r="E325" s="295">
        <v>14607</v>
      </c>
      <c r="F325" s="296">
        <v>1672</v>
      </c>
      <c r="G325" s="297">
        <v>106100</v>
      </c>
      <c r="H325" s="298">
        <f t="shared" si="4"/>
        <v>111405</v>
      </c>
    </row>
    <row r="326" spans="1:8" x14ac:dyDescent="0.2">
      <c r="A326" s="293" t="s">
        <v>643</v>
      </c>
      <c r="B326" s="488">
        <v>145</v>
      </c>
      <c r="C326" s="488">
        <v>145</v>
      </c>
      <c r="D326" s="294" t="s">
        <v>354</v>
      </c>
      <c r="E326" s="295">
        <v>14607</v>
      </c>
      <c r="F326" s="296">
        <v>2137</v>
      </c>
      <c r="G326" s="297">
        <v>59000</v>
      </c>
      <c r="H326" s="298">
        <f t="shared" si="4"/>
        <v>61950</v>
      </c>
    </row>
    <row r="327" spans="1:8" x14ac:dyDescent="0.2">
      <c r="A327" s="293" t="s">
        <v>644</v>
      </c>
      <c r="B327" s="488">
        <v>296</v>
      </c>
      <c r="C327" s="488">
        <v>296</v>
      </c>
      <c r="D327" s="294" t="s">
        <v>365</v>
      </c>
      <c r="E327" s="295">
        <v>14605</v>
      </c>
      <c r="F327" s="296">
        <v>3380</v>
      </c>
      <c r="G327" s="297">
        <v>30000</v>
      </c>
      <c r="H327" s="298">
        <f t="shared" ref="H327:H390" si="5">G327*1.05</f>
        <v>31500</v>
      </c>
    </row>
    <row r="328" spans="1:8" x14ac:dyDescent="0.2">
      <c r="A328" s="293" t="s">
        <v>611</v>
      </c>
      <c r="B328" s="488">
        <v>229</v>
      </c>
      <c r="C328" s="488">
        <v>229</v>
      </c>
      <c r="D328" s="294" t="s">
        <v>330</v>
      </c>
      <c r="E328" s="295">
        <v>14607</v>
      </c>
      <c r="F328" s="296">
        <v>6403</v>
      </c>
      <c r="G328" s="297">
        <v>28800</v>
      </c>
      <c r="H328" s="298">
        <f t="shared" si="5"/>
        <v>30240</v>
      </c>
    </row>
    <row r="329" spans="1:8" x14ac:dyDescent="0.2">
      <c r="A329" s="293" t="s">
        <v>645</v>
      </c>
      <c r="B329" s="488">
        <v>258</v>
      </c>
      <c r="C329" s="488">
        <v>264</v>
      </c>
      <c r="D329" s="294" t="s">
        <v>420</v>
      </c>
      <c r="E329" s="295">
        <v>14604</v>
      </c>
      <c r="F329" s="296">
        <v>9600</v>
      </c>
      <c r="G329" s="297">
        <v>475000</v>
      </c>
      <c r="H329" s="298">
        <f t="shared" si="5"/>
        <v>498750</v>
      </c>
    </row>
    <row r="330" spans="1:8" x14ac:dyDescent="0.2">
      <c r="A330" s="293" t="s">
        <v>529</v>
      </c>
      <c r="B330" s="488">
        <v>56</v>
      </c>
      <c r="C330" s="488">
        <v>56</v>
      </c>
      <c r="D330" s="294" t="s">
        <v>341</v>
      </c>
      <c r="E330" s="295">
        <v>14607</v>
      </c>
      <c r="F330" s="296">
        <v>13764</v>
      </c>
      <c r="G330" s="297">
        <v>62000</v>
      </c>
      <c r="H330" s="298">
        <f t="shared" si="5"/>
        <v>65100</v>
      </c>
    </row>
    <row r="331" spans="1:8" x14ac:dyDescent="0.2">
      <c r="A331" s="293" t="s">
        <v>445</v>
      </c>
      <c r="B331" s="488">
        <v>308</v>
      </c>
      <c r="C331" s="488">
        <v>308</v>
      </c>
      <c r="D331" s="294" t="s">
        <v>415</v>
      </c>
      <c r="E331" s="295">
        <v>14607</v>
      </c>
      <c r="F331" s="296">
        <v>4935</v>
      </c>
      <c r="G331" s="297">
        <v>20000</v>
      </c>
      <c r="H331" s="298">
        <f t="shared" si="5"/>
        <v>21000</v>
      </c>
    </row>
    <row r="332" spans="1:8" x14ac:dyDescent="0.2">
      <c r="A332" s="293" t="s">
        <v>646</v>
      </c>
      <c r="B332" s="488">
        <v>30</v>
      </c>
      <c r="C332" s="488">
        <v>32</v>
      </c>
      <c r="D332" s="294" t="s">
        <v>499</v>
      </c>
      <c r="E332" s="295">
        <v>14607</v>
      </c>
      <c r="F332" s="296">
        <v>3540</v>
      </c>
      <c r="G332" s="297">
        <v>87000</v>
      </c>
      <c r="H332" s="298">
        <f t="shared" si="5"/>
        <v>91350</v>
      </c>
    </row>
    <row r="333" spans="1:8" x14ac:dyDescent="0.2">
      <c r="A333" s="293" t="s">
        <v>647</v>
      </c>
      <c r="B333" s="488">
        <v>142</v>
      </c>
      <c r="C333" s="488">
        <v>142</v>
      </c>
      <c r="D333" s="294" t="s">
        <v>341</v>
      </c>
      <c r="E333" s="295">
        <v>14605</v>
      </c>
      <c r="F333" s="296">
        <v>76</v>
      </c>
      <c r="G333" s="297">
        <v>100</v>
      </c>
      <c r="H333" s="298">
        <f t="shared" si="5"/>
        <v>105</v>
      </c>
    </row>
    <row r="334" spans="1:8" x14ac:dyDescent="0.2">
      <c r="A334" s="293" t="s">
        <v>648</v>
      </c>
      <c r="B334" s="488">
        <v>366</v>
      </c>
      <c r="C334" s="488">
        <v>366.5</v>
      </c>
      <c r="D334" s="294" t="s">
        <v>330</v>
      </c>
      <c r="E334" s="295">
        <v>14607</v>
      </c>
      <c r="F334" s="296">
        <v>10740</v>
      </c>
      <c r="G334" s="297">
        <v>135000</v>
      </c>
      <c r="H334" s="298">
        <f t="shared" si="5"/>
        <v>141750</v>
      </c>
    </row>
    <row r="335" spans="1:8" x14ac:dyDescent="0.2">
      <c r="A335" s="293" t="s">
        <v>649</v>
      </c>
      <c r="B335" s="488">
        <v>705</v>
      </c>
      <c r="C335" s="488">
        <v>707</v>
      </c>
      <c r="D335" s="294" t="s">
        <v>394</v>
      </c>
      <c r="E335" s="295">
        <v>14607</v>
      </c>
      <c r="F335" s="296">
        <v>7852</v>
      </c>
      <c r="G335" s="297">
        <v>165000</v>
      </c>
      <c r="H335" s="298">
        <f t="shared" si="5"/>
        <v>173250</v>
      </c>
    </row>
    <row r="336" spans="1:8" x14ac:dyDescent="0.2">
      <c r="A336" s="293" t="s">
        <v>650</v>
      </c>
      <c r="B336" s="488">
        <v>568</v>
      </c>
      <c r="C336" s="488">
        <v>580</v>
      </c>
      <c r="D336" s="294" t="s">
        <v>328</v>
      </c>
      <c r="E336" s="295">
        <v>14604</v>
      </c>
      <c r="F336" s="296">
        <v>8280</v>
      </c>
      <c r="G336" s="297">
        <v>163500</v>
      </c>
      <c r="H336" s="298">
        <f t="shared" si="5"/>
        <v>171675</v>
      </c>
    </row>
    <row r="337" spans="1:8" x14ac:dyDescent="0.2">
      <c r="A337" s="293" t="s">
        <v>651</v>
      </c>
      <c r="B337" s="488">
        <v>352</v>
      </c>
      <c r="C337" s="488">
        <v>354</v>
      </c>
      <c r="D337" s="294" t="s">
        <v>415</v>
      </c>
      <c r="E337" s="295">
        <v>14607</v>
      </c>
      <c r="F337" s="296">
        <v>2210</v>
      </c>
      <c r="G337" s="297">
        <v>122000</v>
      </c>
      <c r="H337" s="298">
        <f t="shared" si="5"/>
        <v>128100</v>
      </c>
    </row>
    <row r="338" spans="1:8" x14ac:dyDescent="0.2">
      <c r="A338" s="293" t="s">
        <v>554</v>
      </c>
      <c r="B338" s="488">
        <v>48</v>
      </c>
      <c r="C338" s="488">
        <v>48</v>
      </c>
      <c r="D338" s="294" t="s">
        <v>339</v>
      </c>
      <c r="E338" s="295">
        <v>14607</v>
      </c>
      <c r="F338" s="296">
        <v>3948</v>
      </c>
      <c r="G338" s="297">
        <v>121000</v>
      </c>
      <c r="H338" s="298">
        <f t="shared" si="5"/>
        <v>127050</v>
      </c>
    </row>
    <row r="339" spans="1:8" x14ac:dyDescent="0.2">
      <c r="A339" s="293" t="s">
        <v>554</v>
      </c>
      <c r="B339" s="488">
        <v>48</v>
      </c>
      <c r="C339" s="488">
        <v>48</v>
      </c>
      <c r="D339" s="294" t="s">
        <v>354</v>
      </c>
      <c r="E339" s="295">
        <v>14607</v>
      </c>
      <c r="F339" s="296">
        <v>3168</v>
      </c>
      <c r="G339" s="297">
        <v>4000</v>
      </c>
      <c r="H339" s="298">
        <f t="shared" si="5"/>
        <v>4200</v>
      </c>
    </row>
    <row r="340" spans="1:8" x14ac:dyDescent="0.2">
      <c r="A340" s="293" t="s">
        <v>652</v>
      </c>
      <c r="B340" s="488">
        <v>71</v>
      </c>
      <c r="C340" s="488">
        <v>73</v>
      </c>
      <c r="D340" s="294" t="s">
        <v>450</v>
      </c>
      <c r="E340" s="295">
        <v>14607</v>
      </c>
      <c r="F340" s="296">
        <v>1500</v>
      </c>
      <c r="G340" s="297">
        <v>6000</v>
      </c>
      <c r="H340" s="298">
        <f t="shared" si="5"/>
        <v>6300</v>
      </c>
    </row>
    <row r="341" spans="1:8" x14ac:dyDescent="0.2">
      <c r="A341" s="293" t="s">
        <v>653</v>
      </c>
      <c r="B341" s="488">
        <v>333</v>
      </c>
      <c r="C341" s="488">
        <v>333</v>
      </c>
      <c r="D341" s="294" t="s">
        <v>348</v>
      </c>
      <c r="E341" s="295">
        <v>14607</v>
      </c>
      <c r="F341" s="296">
        <v>4186</v>
      </c>
      <c r="G341" s="297">
        <v>146000</v>
      </c>
      <c r="H341" s="298">
        <f t="shared" si="5"/>
        <v>153300</v>
      </c>
    </row>
    <row r="342" spans="1:8" x14ac:dyDescent="0.2">
      <c r="A342" s="293" t="s">
        <v>498</v>
      </c>
      <c r="B342" s="488">
        <v>22</v>
      </c>
      <c r="C342" s="488">
        <v>22</v>
      </c>
      <c r="D342" s="294" t="s">
        <v>443</v>
      </c>
      <c r="E342" s="295">
        <v>14607</v>
      </c>
      <c r="F342" s="296">
        <v>3550</v>
      </c>
      <c r="G342" s="297">
        <v>165000</v>
      </c>
      <c r="H342" s="298">
        <f t="shared" si="5"/>
        <v>173250</v>
      </c>
    </row>
    <row r="343" spans="1:8" x14ac:dyDescent="0.2">
      <c r="A343" s="293" t="s">
        <v>654</v>
      </c>
      <c r="B343" s="488">
        <v>288</v>
      </c>
      <c r="C343" s="488">
        <v>292</v>
      </c>
      <c r="D343" s="294" t="s">
        <v>352</v>
      </c>
      <c r="E343" s="295">
        <v>14607</v>
      </c>
      <c r="F343" s="296">
        <v>5690</v>
      </c>
      <c r="G343" s="297">
        <v>162200</v>
      </c>
      <c r="H343" s="298">
        <f t="shared" si="5"/>
        <v>170310</v>
      </c>
    </row>
    <row r="344" spans="1:8" x14ac:dyDescent="0.2">
      <c r="A344" s="293" t="s">
        <v>655</v>
      </c>
      <c r="B344" s="488">
        <v>297</v>
      </c>
      <c r="C344" s="488">
        <v>297</v>
      </c>
      <c r="D344" s="294" t="s">
        <v>330</v>
      </c>
      <c r="E344" s="295">
        <v>14607</v>
      </c>
      <c r="F344" s="296">
        <v>6899</v>
      </c>
      <c r="G344" s="297">
        <v>34000</v>
      </c>
      <c r="H344" s="298">
        <f t="shared" si="5"/>
        <v>35700</v>
      </c>
    </row>
    <row r="345" spans="1:8" x14ac:dyDescent="0.2">
      <c r="A345" s="293" t="s">
        <v>404</v>
      </c>
      <c r="B345" s="488">
        <v>29</v>
      </c>
      <c r="C345" s="488">
        <v>29</v>
      </c>
      <c r="D345" s="294" t="s">
        <v>464</v>
      </c>
      <c r="E345" s="295">
        <v>14607</v>
      </c>
      <c r="F345" s="296">
        <v>4154</v>
      </c>
      <c r="G345" s="297">
        <v>100000</v>
      </c>
      <c r="H345" s="298">
        <f t="shared" si="5"/>
        <v>105000</v>
      </c>
    </row>
    <row r="346" spans="1:8" x14ac:dyDescent="0.2">
      <c r="A346" s="293" t="s">
        <v>490</v>
      </c>
      <c r="B346" s="488">
        <v>18</v>
      </c>
      <c r="C346" s="488">
        <v>18</v>
      </c>
      <c r="D346" s="294" t="s">
        <v>460</v>
      </c>
      <c r="E346" s="295">
        <v>14607</v>
      </c>
      <c r="F346" s="296">
        <v>6550</v>
      </c>
      <c r="G346" s="297">
        <v>270000</v>
      </c>
      <c r="H346" s="298">
        <f t="shared" si="5"/>
        <v>283500</v>
      </c>
    </row>
    <row r="347" spans="1:8" x14ac:dyDescent="0.2">
      <c r="A347" s="293" t="s">
        <v>360</v>
      </c>
      <c r="B347" s="488">
        <v>21</v>
      </c>
      <c r="C347" s="488">
        <v>21</v>
      </c>
      <c r="D347" s="294" t="s">
        <v>460</v>
      </c>
      <c r="E347" s="295">
        <v>14607</v>
      </c>
      <c r="F347" s="296">
        <v>38919</v>
      </c>
      <c r="G347" s="297">
        <v>33300</v>
      </c>
      <c r="H347" s="298">
        <f t="shared" si="5"/>
        <v>34965</v>
      </c>
    </row>
    <row r="348" spans="1:8" x14ac:dyDescent="0.2">
      <c r="A348" s="293" t="s">
        <v>656</v>
      </c>
      <c r="B348" s="488">
        <v>28</v>
      </c>
      <c r="C348" s="488">
        <v>28</v>
      </c>
      <c r="D348" s="294" t="s">
        <v>460</v>
      </c>
      <c r="E348" s="295">
        <v>14607</v>
      </c>
      <c r="F348" s="296">
        <v>6713</v>
      </c>
      <c r="G348" s="297">
        <v>185900</v>
      </c>
      <c r="H348" s="298">
        <f t="shared" si="5"/>
        <v>195195</v>
      </c>
    </row>
    <row r="349" spans="1:8" x14ac:dyDescent="0.2">
      <c r="A349" s="293" t="s">
        <v>657</v>
      </c>
      <c r="B349" s="488">
        <v>72</v>
      </c>
      <c r="C349" s="488">
        <v>72</v>
      </c>
      <c r="D349" s="294" t="s">
        <v>339</v>
      </c>
      <c r="E349" s="295">
        <v>14607</v>
      </c>
      <c r="F349" s="296">
        <v>5940</v>
      </c>
      <c r="G349" s="297">
        <v>188000</v>
      </c>
      <c r="H349" s="298">
        <f t="shared" si="5"/>
        <v>197400</v>
      </c>
    </row>
    <row r="350" spans="1:8" x14ac:dyDescent="0.2">
      <c r="A350" s="293" t="s">
        <v>658</v>
      </c>
      <c r="B350" s="488">
        <v>254</v>
      </c>
      <c r="C350" s="488">
        <v>254</v>
      </c>
      <c r="D350" s="294" t="s">
        <v>330</v>
      </c>
      <c r="E350" s="295">
        <v>14607</v>
      </c>
      <c r="F350" s="296">
        <v>55602</v>
      </c>
      <c r="G350" s="297">
        <v>4190200</v>
      </c>
      <c r="H350" s="298">
        <f t="shared" si="5"/>
        <v>4399710</v>
      </c>
    </row>
    <row r="351" spans="1:8" x14ac:dyDescent="0.2">
      <c r="A351" s="293" t="s">
        <v>659</v>
      </c>
      <c r="B351" s="488">
        <v>26</v>
      </c>
      <c r="C351" s="488">
        <v>26.5</v>
      </c>
      <c r="D351" s="294" t="s">
        <v>373</v>
      </c>
      <c r="E351" s="295">
        <v>14607</v>
      </c>
      <c r="F351" s="296">
        <v>3300</v>
      </c>
      <c r="G351" s="297">
        <v>16500</v>
      </c>
      <c r="H351" s="298">
        <f t="shared" si="5"/>
        <v>17325</v>
      </c>
    </row>
    <row r="352" spans="1:8" x14ac:dyDescent="0.2">
      <c r="A352" s="293" t="s">
        <v>660</v>
      </c>
      <c r="B352" s="488">
        <v>18</v>
      </c>
      <c r="C352" s="488">
        <v>20</v>
      </c>
      <c r="D352" s="294" t="s">
        <v>341</v>
      </c>
      <c r="E352" s="295">
        <v>14607</v>
      </c>
      <c r="F352" s="296">
        <v>17949</v>
      </c>
      <c r="G352" s="297">
        <v>301600</v>
      </c>
      <c r="H352" s="298">
        <f t="shared" si="5"/>
        <v>316680</v>
      </c>
    </row>
    <row r="353" spans="1:8" x14ac:dyDescent="0.2">
      <c r="A353" s="293" t="s">
        <v>646</v>
      </c>
      <c r="B353" s="488">
        <v>30</v>
      </c>
      <c r="C353" s="488">
        <v>32</v>
      </c>
      <c r="D353" s="294" t="s">
        <v>464</v>
      </c>
      <c r="E353" s="295">
        <v>14607</v>
      </c>
      <c r="F353" s="296">
        <v>1291</v>
      </c>
      <c r="G353" s="297">
        <v>86000</v>
      </c>
      <c r="H353" s="298">
        <f t="shared" si="5"/>
        <v>90300</v>
      </c>
    </row>
    <row r="354" spans="1:8" x14ac:dyDescent="0.2">
      <c r="A354" s="293" t="s">
        <v>661</v>
      </c>
      <c r="B354" s="488">
        <v>221</v>
      </c>
      <c r="C354" s="488">
        <v>221</v>
      </c>
      <c r="D354" s="294" t="s">
        <v>330</v>
      </c>
      <c r="E354" s="295">
        <v>14607</v>
      </c>
      <c r="F354" s="296">
        <v>7786</v>
      </c>
      <c r="G354" s="297">
        <v>154000</v>
      </c>
      <c r="H354" s="298">
        <f t="shared" si="5"/>
        <v>161700</v>
      </c>
    </row>
    <row r="355" spans="1:8" x14ac:dyDescent="0.2">
      <c r="A355" s="293" t="s">
        <v>656</v>
      </c>
      <c r="B355" s="488">
        <v>28</v>
      </c>
      <c r="C355" s="488">
        <v>28</v>
      </c>
      <c r="D355" s="294" t="s">
        <v>373</v>
      </c>
      <c r="E355" s="295">
        <v>14607</v>
      </c>
      <c r="F355" s="296">
        <v>1938</v>
      </c>
      <c r="G355" s="297">
        <v>69000</v>
      </c>
      <c r="H355" s="298">
        <f t="shared" si="5"/>
        <v>72450</v>
      </c>
    </row>
    <row r="356" spans="1:8" x14ac:dyDescent="0.2">
      <c r="A356" s="293" t="s">
        <v>662</v>
      </c>
      <c r="B356" s="488">
        <v>445</v>
      </c>
      <c r="C356" s="488">
        <v>445</v>
      </c>
      <c r="D356" s="294" t="s">
        <v>415</v>
      </c>
      <c r="E356" s="295">
        <v>14607</v>
      </c>
      <c r="F356" s="296">
        <v>1667</v>
      </c>
      <c r="G356" s="297">
        <v>4000</v>
      </c>
      <c r="H356" s="298">
        <f t="shared" si="5"/>
        <v>4200</v>
      </c>
    </row>
    <row r="357" spans="1:8" x14ac:dyDescent="0.2">
      <c r="A357" s="293" t="s">
        <v>663</v>
      </c>
      <c r="B357" s="488">
        <v>430</v>
      </c>
      <c r="C357" s="488">
        <v>430</v>
      </c>
      <c r="D357" s="294" t="s">
        <v>352</v>
      </c>
      <c r="E357" s="295">
        <v>14607</v>
      </c>
      <c r="F357" s="296">
        <v>5600</v>
      </c>
      <c r="G357" s="297">
        <v>28000</v>
      </c>
      <c r="H357" s="298">
        <f t="shared" si="5"/>
        <v>29400</v>
      </c>
    </row>
    <row r="358" spans="1:8" x14ac:dyDescent="0.2">
      <c r="A358" s="293" t="s">
        <v>664</v>
      </c>
      <c r="B358" s="488">
        <v>28</v>
      </c>
      <c r="C358" s="488">
        <v>30</v>
      </c>
      <c r="D358" s="294" t="s">
        <v>339</v>
      </c>
      <c r="E358" s="295">
        <v>14607</v>
      </c>
      <c r="F358" s="296">
        <v>5624</v>
      </c>
      <c r="G358" s="297">
        <v>384000</v>
      </c>
      <c r="H358" s="298">
        <f t="shared" si="5"/>
        <v>403200</v>
      </c>
    </row>
    <row r="359" spans="1:8" x14ac:dyDescent="0.2">
      <c r="A359" s="293" t="s">
        <v>602</v>
      </c>
      <c r="B359" s="488">
        <v>60</v>
      </c>
      <c r="C359" s="488">
        <v>60</v>
      </c>
      <c r="D359" s="294" t="s">
        <v>339</v>
      </c>
      <c r="E359" s="295">
        <v>14607</v>
      </c>
      <c r="F359" s="296">
        <v>7523</v>
      </c>
      <c r="G359" s="297">
        <v>200000</v>
      </c>
      <c r="H359" s="298">
        <f t="shared" si="5"/>
        <v>210000</v>
      </c>
    </row>
    <row r="360" spans="1:8" x14ac:dyDescent="0.2">
      <c r="A360" s="293" t="s">
        <v>665</v>
      </c>
      <c r="B360" s="488">
        <v>288</v>
      </c>
      <c r="C360" s="488">
        <v>288</v>
      </c>
      <c r="D360" s="294" t="s">
        <v>415</v>
      </c>
      <c r="E360" s="295">
        <v>14607</v>
      </c>
      <c r="F360" s="296">
        <v>4937</v>
      </c>
      <c r="G360" s="297">
        <v>16800</v>
      </c>
      <c r="H360" s="298">
        <f t="shared" si="5"/>
        <v>17640</v>
      </c>
    </row>
    <row r="361" spans="1:8" x14ac:dyDescent="0.2">
      <c r="A361" s="293" t="s">
        <v>666</v>
      </c>
      <c r="B361" s="488">
        <v>36</v>
      </c>
      <c r="C361" s="488">
        <v>36</v>
      </c>
      <c r="D361" s="294" t="s">
        <v>361</v>
      </c>
      <c r="E361" s="295">
        <v>14607</v>
      </c>
      <c r="F361" s="296">
        <v>7235</v>
      </c>
      <c r="G361" s="297">
        <v>77900</v>
      </c>
      <c r="H361" s="298">
        <f t="shared" si="5"/>
        <v>81795</v>
      </c>
    </row>
    <row r="362" spans="1:8" x14ac:dyDescent="0.2">
      <c r="A362" s="293" t="s">
        <v>667</v>
      </c>
      <c r="B362" s="488">
        <v>64</v>
      </c>
      <c r="C362" s="488">
        <v>68</v>
      </c>
      <c r="D362" s="294" t="s">
        <v>410</v>
      </c>
      <c r="E362" s="295">
        <v>14605</v>
      </c>
      <c r="F362" s="296">
        <v>4001</v>
      </c>
      <c r="G362" s="297">
        <v>246000</v>
      </c>
      <c r="H362" s="298">
        <f t="shared" si="5"/>
        <v>258300</v>
      </c>
    </row>
    <row r="363" spans="1:8" x14ac:dyDescent="0.2">
      <c r="A363" s="293" t="s">
        <v>609</v>
      </c>
      <c r="B363" s="488">
        <v>44</v>
      </c>
      <c r="C363" s="488">
        <v>44</v>
      </c>
      <c r="D363" s="294" t="s">
        <v>410</v>
      </c>
      <c r="E363" s="295">
        <v>14605</v>
      </c>
      <c r="F363" s="296">
        <v>3985</v>
      </c>
      <c r="G363" s="297">
        <v>240000</v>
      </c>
      <c r="H363" s="298">
        <f t="shared" si="5"/>
        <v>252000</v>
      </c>
    </row>
    <row r="364" spans="1:8" x14ac:dyDescent="0.2">
      <c r="A364" s="293" t="s">
        <v>588</v>
      </c>
      <c r="B364" s="488">
        <v>111</v>
      </c>
      <c r="C364" s="488">
        <v>111</v>
      </c>
      <c r="D364" s="294" t="s">
        <v>354</v>
      </c>
      <c r="E364" s="295">
        <v>14607</v>
      </c>
      <c r="F364" s="296">
        <v>16077</v>
      </c>
      <c r="G364" s="297">
        <v>1272000</v>
      </c>
      <c r="H364" s="298">
        <f t="shared" si="5"/>
        <v>1335600</v>
      </c>
    </row>
    <row r="365" spans="1:8" x14ac:dyDescent="0.2">
      <c r="A365" s="293" t="s">
        <v>668</v>
      </c>
      <c r="B365" s="488">
        <v>386</v>
      </c>
      <c r="C365" s="488">
        <v>386</v>
      </c>
      <c r="D365" s="294" t="s">
        <v>415</v>
      </c>
      <c r="E365" s="295">
        <v>14607</v>
      </c>
      <c r="F365" s="296">
        <v>4680</v>
      </c>
      <c r="G365" s="297">
        <v>90000</v>
      </c>
      <c r="H365" s="298">
        <f t="shared" si="5"/>
        <v>94500</v>
      </c>
    </row>
    <row r="366" spans="1:8" x14ac:dyDescent="0.2">
      <c r="A366" s="293" t="s">
        <v>669</v>
      </c>
      <c r="B366" s="488">
        <v>189</v>
      </c>
      <c r="C366" s="488">
        <v>189</v>
      </c>
      <c r="D366" s="294" t="s">
        <v>348</v>
      </c>
      <c r="E366" s="295">
        <v>14607</v>
      </c>
      <c r="F366" s="296">
        <v>5030</v>
      </c>
      <c r="G366" s="297">
        <v>139300</v>
      </c>
      <c r="H366" s="298">
        <f t="shared" si="5"/>
        <v>146265</v>
      </c>
    </row>
    <row r="367" spans="1:8" x14ac:dyDescent="0.2">
      <c r="A367" s="293" t="s">
        <v>670</v>
      </c>
      <c r="B367" s="488">
        <v>8</v>
      </c>
      <c r="C367" s="488">
        <v>8</v>
      </c>
      <c r="D367" s="294" t="s">
        <v>671</v>
      </c>
      <c r="E367" s="295">
        <v>14607</v>
      </c>
      <c r="F367" s="296">
        <v>2357</v>
      </c>
      <c r="G367" s="297">
        <v>2000</v>
      </c>
      <c r="H367" s="298">
        <f t="shared" si="5"/>
        <v>2100</v>
      </c>
    </row>
    <row r="368" spans="1:8" x14ac:dyDescent="0.2">
      <c r="A368" s="293" t="s">
        <v>672</v>
      </c>
      <c r="B368" s="488">
        <v>495</v>
      </c>
      <c r="C368" s="488">
        <v>495</v>
      </c>
      <c r="D368" s="294" t="s">
        <v>550</v>
      </c>
      <c r="E368" s="295">
        <v>14607</v>
      </c>
      <c r="F368" s="296">
        <v>15964</v>
      </c>
      <c r="G368" s="297">
        <v>191500</v>
      </c>
      <c r="H368" s="298">
        <f t="shared" si="5"/>
        <v>201075</v>
      </c>
    </row>
    <row r="369" spans="1:8" x14ac:dyDescent="0.2">
      <c r="A369" s="293" t="s">
        <v>673</v>
      </c>
      <c r="B369" s="488">
        <v>756</v>
      </c>
      <c r="C369" s="488">
        <v>756</v>
      </c>
      <c r="D369" s="294" t="s">
        <v>328</v>
      </c>
      <c r="E369" s="295">
        <v>14605</v>
      </c>
      <c r="F369" s="296">
        <v>12000</v>
      </c>
      <c r="G369" s="297">
        <v>160000</v>
      </c>
      <c r="H369" s="298">
        <f t="shared" si="5"/>
        <v>168000</v>
      </c>
    </row>
    <row r="370" spans="1:8" x14ac:dyDescent="0.2">
      <c r="A370" s="293" t="s">
        <v>674</v>
      </c>
      <c r="B370" s="488">
        <v>500</v>
      </c>
      <c r="C370" s="488">
        <v>500</v>
      </c>
      <c r="D370" s="294" t="s">
        <v>328</v>
      </c>
      <c r="E370" s="295">
        <v>14604</v>
      </c>
      <c r="F370" s="296">
        <v>10817</v>
      </c>
      <c r="G370" s="297">
        <v>90000</v>
      </c>
      <c r="H370" s="298">
        <f t="shared" si="5"/>
        <v>94500</v>
      </c>
    </row>
    <row r="371" spans="1:8" x14ac:dyDescent="0.2">
      <c r="A371" s="293" t="s">
        <v>675</v>
      </c>
      <c r="B371" s="488">
        <v>314</v>
      </c>
      <c r="C371" s="488">
        <v>314</v>
      </c>
      <c r="D371" s="294" t="s">
        <v>365</v>
      </c>
      <c r="E371" s="295">
        <v>14605</v>
      </c>
      <c r="F371" s="296">
        <v>4680</v>
      </c>
      <c r="G371" s="297">
        <v>37300</v>
      </c>
      <c r="H371" s="298">
        <f t="shared" si="5"/>
        <v>39165</v>
      </c>
    </row>
    <row r="372" spans="1:8" x14ac:dyDescent="0.2">
      <c r="A372" s="293" t="s">
        <v>676</v>
      </c>
      <c r="B372" s="488">
        <v>691</v>
      </c>
      <c r="C372" s="488">
        <v>691</v>
      </c>
      <c r="D372" s="294" t="s">
        <v>328</v>
      </c>
      <c r="E372" s="295">
        <v>14605</v>
      </c>
      <c r="F372" s="296">
        <v>16660</v>
      </c>
      <c r="G372" s="297">
        <v>108000</v>
      </c>
      <c r="H372" s="298">
        <f t="shared" si="5"/>
        <v>113400</v>
      </c>
    </row>
    <row r="373" spans="1:8" x14ac:dyDescent="0.2">
      <c r="A373" s="293" t="s">
        <v>677</v>
      </c>
      <c r="B373" s="488">
        <v>218</v>
      </c>
      <c r="C373" s="488">
        <v>224</v>
      </c>
      <c r="D373" s="294" t="s">
        <v>330</v>
      </c>
      <c r="E373" s="295">
        <v>14607</v>
      </c>
      <c r="F373" s="296">
        <v>288759</v>
      </c>
      <c r="G373" s="297">
        <v>16000000</v>
      </c>
      <c r="H373" s="298">
        <f t="shared" si="5"/>
        <v>16800000</v>
      </c>
    </row>
    <row r="374" spans="1:8" x14ac:dyDescent="0.2">
      <c r="A374" s="293" t="s">
        <v>411</v>
      </c>
      <c r="B374" s="488">
        <v>121</v>
      </c>
      <c r="C374" s="488">
        <v>121</v>
      </c>
      <c r="D374" s="294" t="s">
        <v>418</v>
      </c>
      <c r="E374" s="295">
        <v>14605</v>
      </c>
      <c r="F374" s="296">
        <v>4312</v>
      </c>
      <c r="G374" s="297">
        <v>36000</v>
      </c>
      <c r="H374" s="298">
        <f t="shared" si="5"/>
        <v>37800</v>
      </c>
    </row>
    <row r="375" spans="1:8" x14ac:dyDescent="0.2">
      <c r="A375" s="293" t="s">
        <v>678</v>
      </c>
      <c r="B375" s="488">
        <v>45</v>
      </c>
      <c r="C375" s="488">
        <v>45</v>
      </c>
      <c r="D375" s="294" t="s">
        <v>464</v>
      </c>
      <c r="E375" s="295">
        <v>14607</v>
      </c>
      <c r="F375" s="296">
        <v>3878</v>
      </c>
      <c r="G375" s="297">
        <v>39000</v>
      </c>
      <c r="H375" s="298">
        <f t="shared" si="5"/>
        <v>40950</v>
      </c>
    </row>
    <row r="376" spans="1:8" x14ac:dyDescent="0.2">
      <c r="A376" s="293" t="s">
        <v>679</v>
      </c>
      <c r="B376" s="488">
        <v>159</v>
      </c>
      <c r="C376" s="488">
        <v>159</v>
      </c>
      <c r="D376" s="294" t="s">
        <v>330</v>
      </c>
      <c r="E376" s="295">
        <v>14607</v>
      </c>
      <c r="F376" s="296">
        <v>9120</v>
      </c>
      <c r="G376" s="297">
        <v>249000</v>
      </c>
      <c r="H376" s="298">
        <f t="shared" si="5"/>
        <v>261450</v>
      </c>
    </row>
    <row r="377" spans="1:8" x14ac:dyDescent="0.2">
      <c r="A377" s="293" t="s">
        <v>680</v>
      </c>
      <c r="B377" s="488">
        <v>81</v>
      </c>
      <c r="C377" s="488">
        <v>81</v>
      </c>
      <c r="D377" s="294" t="s">
        <v>361</v>
      </c>
      <c r="E377" s="295">
        <v>14607</v>
      </c>
      <c r="F377" s="296">
        <v>4088</v>
      </c>
      <c r="G377" s="297">
        <v>75000</v>
      </c>
      <c r="H377" s="298">
        <f t="shared" si="5"/>
        <v>78750</v>
      </c>
    </row>
    <row r="378" spans="1:8" x14ac:dyDescent="0.2">
      <c r="A378" s="293" t="s">
        <v>681</v>
      </c>
      <c r="B378" s="488">
        <v>289</v>
      </c>
      <c r="C378" s="488">
        <v>289</v>
      </c>
      <c r="D378" s="294" t="s">
        <v>381</v>
      </c>
      <c r="E378" s="295">
        <v>14605</v>
      </c>
      <c r="F378" s="296">
        <v>4851</v>
      </c>
      <c r="G378" s="297">
        <v>45000</v>
      </c>
      <c r="H378" s="298">
        <f t="shared" si="5"/>
        <v>47250</v>
      </c>
    </row>
    <row r="379" spans="1:8" x14ac:dyDescent="0.2">
      <c r="A379" s="293" t="s">
        <v>682</v>
      </c>
      <c r="B379" s="488">
        <v>468</v>
      </c>
      <c r="C379" s="488">
        <v>470</v>
      </c>
      <c r="D379" s="294" t="s">
        <v>328</v>
      </c>
      <c r="E379" s="295">
        <v>14604</v>
      </c>
      <c r="F379" s="296">
        <v>2611</v>
      </c>
      <c r="G379" s="297">
        <v>33000</v>
      </c>
      <c r="H379" s="298">
        <f t="shared" si="5"/>
        <v>34650</v>
      </c>
    </row>
    <row r="380" spans="1:8" x14ac:dyDescent="0.2">
      <c r="A380" s="293" t="s">
        <v>683</v>
      </c>
      <c r="B380" s="488">
        <v>395</v>
      </c>
      <c r="C380" s="294" t="s">
        <v>684</v>
      </c>
      <c r="D380" s="294" t="s">
        <v>330</v>
      </c>
      <c r="E380" s="295">
        <v>14607</v>
      </c>
      <c r="F380" s="296">
        <v>1083</v>
      </c>
      <c r="G380" s="297">
        <v>110000</v>
      </c>
      <c r="H380" s="298">
        <f t="shared" si="5"/>
        <v>115500</v>
      </c>
    </row>
    <row r="381" spans="1:8" x14ac:dyDescent="0.2">
      <c r="A381" s="293" t="s">
        <v>490</v>
      </c>
      <c r="B381" s="488">
        <v>18</v>
      </c>
      <c r="C381" s="488">
        <v>18</v>
      </c>
      <c r="D381" s="294" t="s">
        <v>407</v>
      </c>
      <c r="E381" s="295">
        <v>14604</v>
      </c>
      <c r="F381" s="296">
        <v>5035</v>
      </c>
      <c r="G381" s="297">
        <v>780400</v>
      </c>
      <c r="H381" s="298">
        <f t="shared" si="5"/>
        <v>819420</v>
      </c>
    </row>
    <row r="382" spans="1:8" x14ac:dyDescent="0.2">
      <c r="A382" s="293" t="s">
        <v>685</v>
      </c>
      <c r="B382" s="488">
        <v>397</v>
      </c>
      <c r="C382" s="294" t="s">
        <v>686</v>
      </c>
      <c r="D382" s="294" t="s">
        <v>330</v>
      </c>
      <c r="E382" s="295">
        <v>14607</v>
      </c>
      <c r="F382" s="296">
        <v>1580</v>
      </c>
      <c r="G382" s="297">
        <v>105000</v>
      </c>
      <c r="H382" s="298">
        <f t="shared" si="5"/>
        <v>110250</v>
      </c>
    </row>
    <row r="383" spans="1:8" x14ac:dyDescent="0.2">
      <c r="A383" s="293" t="s">
        <v>508</v>
      </c>
      <c r="B383" s="488">
        <v>23</v>
      </c>
      <c r="C383" s="488">
        <v>23</v>
      </c>
      <c r="D383" s="294" t="s">
        <v>361</v>
      </c>
      <c r="E383" s="295">
        <v>14607</v>
      </c>
      <c r="F383" s="296">
        <v>3600</v>
      </c>
      <c r="G383" s="297">
        <v>107000</v>
      </c>
      <c r="H383" s="298">
        <f t="shared" si="5"/>
        <v>112350</v>
      </c>
    </row>
    <row r="384" spans="1:8" x14ac:dyDescent="0.2">
      <c r="A384" s="299" t="s">
        <v>687</v>
      </c>
      <c r="B384" s="489">
        <v>397</v>
      </c>
      <c r="C384" s="489">
        <v>399</v>
      </c>
      <c r="D384" s="300" t="s">
        <v>332</v>
      </c>
      <c r="E384" s="301">
        <v>14607</v>
      </c>
      <c r="F384" s="302">
        <v>4891</v>
      </c>
      <c r="G384" s="303">
        <v>100000</v>
      </c>
      <c r="H384" s="304">
        <f t="shared" si="5"/>
        <v>105000</v>
      </c>
    </row>
    <row r="385" spans="1:8" x14ac:dyDescent="0.2">
      <c r="A385" s="293" t="s">
        <v>688</v>
      </c>
      <c r="B385" s="488">
        <v>48</v>
      </c>
      <c r="C385" s="488">
        <v>58</v>
      </c>
      <c r="D385" s="294" t="s">
        <v>377</v>
      </c>
      <c r="E385" s="295">
        <v>14607</v>
      </c>
      <c r="F385" s="296">
        <v>13619</v>
      </c>
      <c r="G385" s="297">
        <v>34700</v>
      </c>
      <c r="H385" s="298">
        <f t="shared" si="5"/>
        <v>36435</v>
      </c>
    </row>
    <row r="386" spans="1:8" x14ac:dyDescent="0.2">
      <c r="A386" s="293" t="s">
        <v>425</v>
      </c>
      <c r="B386" s="488">
        <v>151</v>
      </c>
      <c r="C386" s="488">
        <v>151</v>
      </c>
      <c r="D386" s="294" t="s">
        <v>354</v>
      </c>
      <c r="E386" s="295">
        <v>14607</v>
      </c>
      <c r="F386" s="296">
        <v>3905</v>
      </c>
      <c r="G386" s="297">
        <v>128200</v>
      </c>
      <c r="H386" s="298">
        <f t="shared" si="5"/>
        <v>134610</v>
      </c>
    </row>
    <row r="387" spans="1:8" x14ac:dyDescent="0.2">
      <c r="A387" s="293" t="s">
        <v>689</v>
      </c>
      <c r="B387" s="488">
        <v>414</v>
      </c>
      <c r="C387" s="488">
        <v>414</v>
      </c>
      <c r="D387" s="294" t="s">
        <v>415</v>
      </c>
      <c r="E387" s="295">
        <v>14607</v>
      </c>
      <c r="F387" s="296">
        <v>6688</v>
      </c>
      <c r="G387" s="297">
        <v>149900</v>
      </c>
      <c r="H387" s="298">
        <f t="shared" si="5"/>
        <v>157395</v>
      </c>
    </row>
    <row r="388" spans="1:8" x14ac:dyDescent="0.2">
      <c r="A388" s="293" t="s">
        <v>689</v>
      </c>
      <c r="B388" s="488">
        <v>414</v>
      </c>
      <c r="C388" s="488">
        <v>414</v>
      </c>
      <c r="D388" s="294" t="s">
        <v>550</v>
      </c>
      <c r="E388" s="295">
        <v>14607</v>
      </c>
      <c r="F388" s="296">
        <v>11117</v>
      </c>
      <c r="G388" s="297">
        <v>115000</v>
      </c>
      <c r="H388" s="298">
        <f t="shared" si="5"/>
        <v>120750</v>
      </c>
    </row>
    <row r="389" spans="1:8" x14ac:dyDescent="0.2">
      <c r="A389" s="293" t="s">
        <v>501</v>
      </c>
      <c r="B389" s="488">
        <v>62</v>
      </c>
      <c r="C389" s="488">
        <v>62</v>
      </c>
      <c r="D389" s="294" t="s">
        <v>399</v>
      </c>
      <c r="E389" s="295">
        <v>14607</v>
      </c>
      <c r="F389" s="296">
        <v>5491</v>
      </c>
      <c r="G389" s="297">
        <v>121500</v>
      </c>
      <c r="H389" s="298">
        <f t="shared" si="5"/>
        <v>127575</v>
      </c>
    </row>
    <row r="390" spans="1:8" x14ac:dyDescent="0.2">
      <c r="A390" s="293" t="s">
        <v>392</v>
      </c>
      <c r="B390" s="488">
        <v>63</v>
      </c>
      <c r="C390" s="488">
        <v>63</v>
      </c>
      <c r="D390" s="294" t="s">
        <v>348</v>
      </c>
      <c r="E390" s="295">
        <v>14607</v>
      </c>
      <c r="F390" s="296">
        <v>8114</v>
      </c>
      <c r="G390" s="297">
        <v>180000</v>
      </c>
      <c r="H390" s="298">
        <f t="shared" si="5"/>
        <v>189000</v>
      </c>
    </row>
    <row r="391" spans="1:8" x14ac:dyDescent="0.2">
      <c r="A391" s="293" t="s">
        <v>580</v>
      </c>
      <c r="B391" s="488">
        <v>40</v>
      </c>
      <c r="C391" s="488">
        <v>40</v>
      </c>
      <c r="D391" s="294" t="s">
        <v>339</v>
      </c>
      <c r="E391" s="295">
        <v>14607</v>
      </c>
      <c r="F391" s="296">
        <v>3807</v>
      </c>
      <c r="G391" s="297">
        <v>121700</v>
      </c>
      <c r="H391" s="298">
        <f t="shared" ref="H391:H454" si="6">G391*1.05</f>
        <v>127785</v>
      </c>
    </row>
    <row r="392" spans="1:8" x14ac:dyDescent="0.2">
      <c r="A392" s="293" t="s">
        <v>690</v>
      </c>
      <c r="B392" s="488">
        <v>99</v>
      </c>
      <c r="C392" s="488">
        <v>99</v>
      </c>
      <c r="D392" s="294" t="s">
        <v>339</v>
      </c>
      <c r="E392" s="295">
        <v>14607</v>
      </c>
      <c r="F392" s="296">
        <v>15133</v>
      </c>
      <c r="G392" s="297">
        <v>480000</v>
      </c>
      <c r="H392" s="298">
        <f t="shared" si="6"/>
        <v>504000</v>
      </c>
    </row>
    <row r="393" spans="1:8" x14ac:dyDescent="0.2">
      <c r="A393" s="293" t="s">
        <v>691</v>
      </c>
      <c r="B393" s="488">
        <v>12</v>
      </c>
      <c r="C393" s="488">
        <v>12</v>
      </c>
      <c r="D393" s="294" t="s">
        <v>452</v>
      </c>
      <c r="E393" s="295">
        <v>14607</v>
      </c>
      <c r="F393" s="296">
        <v>5221</v>
      </c>
      <c r="G393" s="297">
        <v>103400</v>
      </c>
      <c r="H393" s="298">
        <f t="shared" si="6"/>
        <v>108570</v>
      </c>
    </row>
    <row r="394" spans="1:8" x14ac:dyDescent="0.2">
      <c r="A394" s="293" t="s">
        <v>692</v>
      </c>
      <c r="B394" s="488">
        <v>312</v>
      </c>
      <c r="C394" s="488">
        <v>312</v>
      </c>
      <c r="D394" s="294" t="s">
        <v>332</v>
      </c>
      <c r="E394" s="295">
        <v>14607</v>
      </c>
      <c r="F394" s="296">
        <v>1530</v>
      </c>
      <c r="G394" s="297">
        <v>7500</v>
      </c>
      <c r="H394" s="298">
        <f t="shared" si="6"/>
        <v>7875</v>
      </c>
    </row>
    <row r="395" spans="1:8" x14ac:dyDescent="0.2">
      <c r="A395" s="293" t="s">
        <v>623</v>
      </c>
      <c r="B395" s="488">
        <v>27</v>
      </c>
      <c r="C395" s="488">
        <v>27</v>
      </c>
      <c r="D395" s="294" t="s">
        <v>396</v>
      </c>
      <c r="E395" s="295">
        <v>14607</v>
      </c>
      <c r="F395" s="296">
        <v>1474</v>
      </c>
      <c r="G395" s="297">
        <v>16800</v>
      </c>
      <c r="H395" s="298">
        <f t="shared" si="6"/>
        <v>17640</v>
      </c>
    </row>
    <row r="396" spans="1:8" x14ac:dyDescent="0.2">
      <c r="A396" s="293" t="s">
        <v>693</v>
      </c>
      <c r="B396" s="488">
        <v>10</v>
      </c>
      <c r="C396" s="488">
        <v>3</v>
      </c>
      <c r="D396" s="294" t="s">
        <v>495</v>
      </c>
      <c r="E396" s="295">
        <v>14605</v>
      </c>
      <c r="F396" s="296">
        <v>2146</v>
      </c>
      <c r="G396" s="297">
        <v>192000</v>
      </c>
      <c r="H396" s="298">
        <f t="shared" si="6"/>
        <v>201600</v>
      </c>
    </row>
    <row r="397" spans="1:8" x14ac:dyDescent="0.2">
      <c r="A397" s="293" t="s">
        <v>622</v>
      </c>
      <c r="B397" s="488">
        <v>115</v>
      </c>
      <c r="C397" s="488">
        <v>115</v>
      </c>
      <c r="D397" s="294" t="s">
        <v>332</v>
      </c>
      <c r="E397" s="295">
        <v>14605</v>
      </c>
      <c r="F397" s="296">
        <v>2883</v>
      </c>
      <c r="G397" s="297">
        <v>200000</v>
      </c>
      <c r="H397" s="298">
        <f t="shared" si="6"/>
        <v>210000</v>
      </c>
    </row>
    <row r="398" spans="1:8" x14ac:dyDescent="0.2">
      <c r="A398" s="293" t="s">
        <v>694</v>
      </c>
      <c r="B398" s="488">
        <v>213</v>
      </c>
      <c r="C398" s="488">
        <v>219</v>
      </c>
      <c r="D398" s="294" t="s">
        <v>352</v>
      </c>
      <c r="E398" s="295">
        <v>14607</v>
      </c>
      <c r="F398" s="296">
        <v>3898</v>
      </c>
      <c r="G398" s="297">
        <v>268800</v>
      </c>
      <c r="H398" s="298">
        <f t="shared" si="6"/>
        <v>282240</v>
      </c>
    </row>
    <row r="399" spans="1:8" x14ac:dyDescent="0.2">
      <c r="A399" s="293" t="s">
        <v>695</v>
      </c>
      <c r="B399" s="488">
        <v>69</v>
      </c>
      <c r="C399" s="488">
        <v>69</v>
      </c>
      <c r="D399" s="294" t="s">
        <v>337</v>
      </c>
      <c r="E399" s="295">
        <v>14607</v>
      </c>
      <c r="F399" s="296">
        <v>6439</v>
      </c>
      <c r="G399" s="297">
        <v>120000</v>
      </c>
      <c r="H399" s="298">
        <f t="shared" si="6"/>
        <v>126000</v>
      </c>
    </row>
    <row r="400" spans="1:8" x14ac:dyDescent="0.2">
      <c r="A400" s="293" t="s">
        <v>696</v>
      </c>
      <c r="B400" s="488">
        <v>4</v>
      </c>
      <c r="C400" s="488">
        <v>4</v>
      </c>
      <c r="D400" s="294" t="s">
        <v>471</v>
      </c>
      <c r="E400" s="295">
        <v>14607</v>
      </c>
      <c r="F400" s="296">
        <v>4203</v>
      </c>
      <c r="G400" s="297">
        <v>100300</v>
      </c>
      <c r="H400" s="298">
        <f t="shared" si="6"/>
        <v>105315</v>
      </c>
    </row>
    <row r="401" spans="1:8" x14ac:dyDescent="0.2">
      <c r="A401" s="293" t="s">
        <v>566</v>
      </c>
      <c r="B401" s="488">
        <v>141</v>
      </c>
      <c r="C401" s="488">
        <v>141</v>
      </c>
      <c r="D401" s="294" t="s">
        <v>420</v>
      </c>
      <c r="E401" s="295">
        <v>14604</v>
      </c>
      <c r="F401" s="296">
        <v>39775</v>
      </c>
      <c r="G401" s="297">
        <v>1088400</v>
      </c>
      <c r="H401" s="298">
        <f t="shared" si="6"/>
        <v>1142820</v>
      </c>
    </row>
    <row r="402" spans="1:8" x14ac:dyDescent="0.2">
      <c r="A402" s="293" t="s">
        <v>594</v>
      </c>
      <c r="B402" s="488">
        <v>52</v>
      </c>
      <c r="C402" s="488">
        <v>52</v>
      </c>
      <c r="D402" s="294" t="s">
        <v>410</v>
      </c>
      <c r="E402" s="295">
        <v>14605</v>
      </c>
      <c r="F402" s="296">
        <v>1891</v>
      </c>
      <c r="G402" s="297">
        <v>200000</v>
      </c>
      <c r="H402" s="298">
        <f t="shared" si="6"/>
        <v>210000</v>
      </c>
    </row>
    <row r="403" spans="1:8" x14ac:dyDescent="0.2">
      <c r="A403" s="293" t="s">
        <v>697</v>
      </c>
      <c r="B403" s="488">
        <v>441</v>
      </c>
      <c r="C403" s="488">
        <v>441</v>
      </c>
      <c r="D403" s="294" t="s">
        <v>415</v>
      </c>
      <c r="E403" s="295">
        <v>14607</v>
      </c>
      <c r="F403" s="296">
        <v>1667</v>
      </c>
      <c r="G403" s="297">
        <v>4000</v>
      </c>
      <c r="H403" s="298">
        <f t="shared" si="6"/>
        <v>4200</v>
      </c>
    </row>
    <row r="404" spans="1:8" x14ac:dyDescent="0.2">
      <c r="A404" s="293" t="s">
        <v>398</v>
      </c>
      <c r="B404" s="488">
        <v>169</v>
      </c>
      <c r="C404" s="488">
        <v>169</v>
      </c>
      <c r="D404" s="294" t="s">
        <v>368</v>
      </c>
      <c r="E404" s="295">
        <v>14607</v>
      </c>
      <c r="F404" s="296">
        <v>4000</v>
      </c>
      <c r="G404" s="297">
        <v>117000</v>
      </c>
      <c r="H404" s="298">
        <f t="shared" si="6"/>
        <v>122850</v>
      </c>
    </row>
    <row r="405" spans="1:8" x14ac:dyDescent="0.2">
      <c r="A405" s="293" t="s">
        <v>698</v>
      </c>
      <c r="B405" s="488">
        <v>337</v>
      </c>
      <c r="C405" s="488">
        <v>339</v>
      </c>
      <c r="D405" s="294" t="s">
        <v>330</v>
      </c>
      <c r="E405" s="295">
        <v>14607</v>
      </c>
      <c r="F405" s="296">
        <v>5358</v>
      </c>
      <c r="G405" s="297">
        <v>40000</v>
      </c>
      <c r="H405" s="298">
        <f t="shared" si="6"/>
        <v>42000</v>
      </c>
    </row>
    <row r="406" spans="1:8" x14ac:dyDescent="0.2">
      <c r="A406" s="293" t="s">
        <v>395</v>
      </c>
      <c r="B406" s="488">
        <v>15</v>
      </c>
      <c r="C406" s="488">
        <v>15</v>
      </c>
      <c r="D406" s="294" t="s">
        <v>455</v>
      </c>
      <c r="E406" s="295">
        <v>14607</v>
      </c>
      <c r="F406" s="296">
        <v>3018</v>
      </c>
      <c r="G406" s="297">
        <v>100000</v>
      </c>
      <c r="H406" s="298">
        <f t="shared" si="6"/>
        <v>105000</v>
      </c>
    </row>
    <row r="407" spans="1:8" x14ac:dyDescent="0.2">
      <c r="A407" s="293" t="s">
        <v>422</v>
      </c>
      <c r="B407" s="488">
        <v>258</v>
      </c>
      <c r="C407" s="488">
        <v>258</v>
      </c>
      <c r="D407" s="294" t="s">
        <v>352</v>
      </c>
      <c r="E407" s="295">
        <v>14607</v>
      </c>
      <c r="F407" s="296">
        <v>6396</v>
      </c>
      <c r="G407" s="297">
        <v>175000</v>
      </c>
      <c r="H407" s="298">
        <f t="shared" si="6"/>
        <v>183750</v>
      </c>
    </row>
    <row r="408" spans="1:8" x14ac:dyDescent="0.2">
      <c r="A408" s="293" t="s">
        <v>631</v>
      </c>
      <c r="B408" s="488">
        <v>127</v>
      </c>
      <c r="C408" s="488">
        <v>127</v>
      </c>
      <c r="D408" s="294" t="s">
        <v>418</v>
      </c>
      <c r="E408" s="295">
        <v>14605</v>
      </c>
      <c r="F408" s="296">
        <v>6435</v>
      </c>
      <c r="G408" s="297">
        <v>22000</v>
      </c>
      <c r="H408" s="298">
        <f t="shared" si="6"/>
        <v>23100</v>
      </c>
    </row>
    <row r="409" spans="1:8" x14ac:dyDescent="0.2">
      <c r="A409" s="293" t="s">
        <v>699</v>
      </c>
      <c r="B409" s="488">
        <v>226</v>
      </c>
      <c r="C409" s="488">
        <v>226</v>
      </c>
      <c r="D409" s="294" t="s">
        <v>381</v>
      </c>
      <c r="E409" s="295">
        <v>14605</v>
      </c>
      <c r="F409" s="296">
        <v>3997</v>
      </c>
      <c r="G409" s="297">
        <v>38000</v>
      </c>
      <c r="H409" s="298">
        <f t="shared" si="6"/>
        <v>39900</v>
      </c>
    </row>
    <row r="410" spans="1:8" x14ac:dyDescent="0.2">
      <c r="A410" s="293" t="s">
        <v>700</v>
      </c>
      <c r="B410" s="488">
        <v>40</v>
      </c>
      <c r="C410" s="488">
        <v>52</v>
      </c>
      <c r="D410" s="294" t="s">
        <v>399</v>
      </c>
      <c r="E410" s="295">
        <v>14604</v>
      </c>
      <c r="F410" s="296">
        <v>29291</v>
      </c>
      <c r="G410" s="297">
        <v>400000</v>
      </c>
      <c r="H410" s="298">
        <f t="shared" si="6"/>
        <v>420000</v>
      </c>
    </row>
    <row r="411" spans="1:8" x14ac:dyDescent="0.2">
      <c r="A411" s="293" t="s">
        <v>543</v>
      </c>
      <c r="B411" s="488">
        <v>30</v>
      </c>
      <c r="C411" s="488">
        <v>30</v>
      </c>
      <c r="D411" s="294" t="s">
        <v>363</v>
      </c>
      <c r="E411" s="295">
        <v>14604</v>
      </c>
      <c r="F411" s="296">
        <v>24427</v>
      </c>
      <c r="G411" s="297">
        <v>2196600</v>
      </c>
      <c r="H411" s="298">
        <f t="shared" si="6"/>
        <v>2306430</v>
      </c>
    </row>
    <row r="412" spans="1:8" x14ac:dyDescent="0.2">
      <c r="A412" s="293" t="s">
        <v>678</v>
      </c>
      <c r="B412" s="488">
        <v>45</v>
      </c>
      <c r="C412" s="488">
        <v>45</v>
      </c>
      <c r="D412" s="294" t="s">
        <v>337</v>
      </c>
      <c r="E412" s="295">
        <v>14607</v>
      </c>
      <c r="F412" s="296">
        <v>3800</v>
      </c>
      <c r="G412" s="297">
        <v>150000</v>
      </c>
      <c r="H412" s="298">
        <f t="shared" si="6"/>
        <v>157500</v>
      </c>
    </row>
    <row r="413" spans="1:8" x14ac:dyDescent="0.2">
      <c r="A413" s="293" t="s">
        <v>701</v>
      </c>
      <c r="B413" s="488">
        <v>315</v>
      </c>
      <c r="C413" s="488">
        <v>317</v>
      </c>
      <c r="D413" s="294" t="s">
        <v>348</v>
      </c>
      <c r="E413" s="295">
        <v>14607</v>
      </c>
      <c r="F413" s="296">
        <v>8250</v>
      </c>
      <c r="G413" s="297">
        <v>168000</v>
      </c>
      <c r="H413" s="298">
        <f t="shared" si="6"/>
        <v>176400</v>
      </c>
    </row>
    <row r="414" spans="1:8" x14ac:dyDescent="0.2">
      <c r="A414" s="293" t="s">
        <v>702</v>
      </c>
      <c r="B414" s="488">
        <v>51</v>
      </c>
      <c r="C414" s="488">
        <v>57</v>
      </c>
      <c r="D414" s="294" t="s">
        <v>377</v>
      </c>
      <c r="E414" s="295">
        <v>14607</v>
      </c>
      <c r="F414" s="296">
        <v>6455</v>
      </c>
      <c r="G414" s="297">
        <v>70900</v>
      </c>
      <c r="H414" s="298">
        <f t="shared" si="6"/>
        <v>74445</v>
      </c>
    </row>
    <row r="415" spans="1:8" x14ac:dyDescent="0.2">
      <c r="A415" s="293" t="s">
        <v>703</v>
      </c>
      <c r="B415" s="488">
        <v>350</v>
      </c>
      <c r="C415" s="294" t="s">
        <v>704</v>
      </c>
      <c r="D415" s="294" t="s">
        <v>332</v>
      </c>
      <c r="E415" s="295">
        <v>14607</v>
      </c>
      <c r="F415" s="296">
        <v>1146</v>
      </c>
      <c r="G415" s="297">
        <v>107100</v>
      </c>
      <c r="H415" s="298">
        <f t="shared" si="6"/>
        <v>112455</v>
      </c>
    </row>
    <row r="416" spans="1:8" x14ac:dyDescent="0.2">
      <c r="A416" s="293" t="s">
        <v>705</v>
      </c>
      <c r="B416" s="488">
        <v>433</v>
      </c>
      <c r="C416" s="488">
        <v>453</v>
      </c>
      <c r="D416" s="294" t="s">
        <v>328</v>
      </c>
      <c r="E416" s="295">
        <v>14604</v>
      </c>
      <c r="F416" s="296">
        <v>14147</v>
      </c>
      <c r="G416" s="297">
        <v>4362000</v>
      </c>
      <c r="H416" s="298">
        <f t="shared" si="6"/>
        <v>4580100</v>
      </c>
    </row>
    <row r="417" spans="1:8" x14ac:dyDescent="0.2">
      <c r="A417" s="293" t="s">
        <v>543</v>
      </c>
      <c r="B417" s="488">
        <v>30</v>
      </c>
      <c r="C417" s="488">
        <v>30</v>
      </c>
      <c r="D417" s="294" t="s">
        <v>455</v>
      </c>
      <c r="E417" s="295">
        <v>14607</v>
      </c>
      <c r="F417" s="296">
        <v>2493</v>
      </c>
      <c r="G417" s="297">
        <v>8000</v>
      </c>
      <c r="H417" s="298">
        <f t="shared" si="6"/>
        <v>8400</v>
      </c>
    </row>
    <row r="418" spans="1:8" x14ac:dyDescent="0.2">
      <c r="A418" s="293" t="s">
        <v>580</v>
      </c>
      <c r="B418" s="488">
        <v>40</v>
      </c>
      <c r="C418" s="488">
        <v>40</v>
      </c>
      <c r="D418" s="294" t="s">
        <v>350</v>
      </c>
      <c r="E418" s="295">
        <v>14607</v>
      </c>
      <c r="F418" s="296">
        <v>3196</v>
      </c>
      <c r="G418" s="297">
        <v>103000</v>
      </c>
      <c r="H418" s="298">
        <f t="shared" si="6"/>
        <v>108150</v>
      </c>
    </row>
    <row r="419" spans="1:8" x14ac:dyDescent="0.2">
      <c r="A419" s="293" t="s">
        <v>706</v>
      </c>
      <c r="B419" s="488">
        <v>251</v>
      </c>
      <c r="C419" s="488">
        <v>257</v>
      </c>
      <c r="D419" s="294" t="s">
        <v>348</v>
      </c>
      <c r="E419" s="295">
        <v>14607</v>
      </c>
      <c r="F419" s="296">
        <v>8250</v>
      </c>
      <c r="G419" s="297">
        <v>213600</v>
      </c>
      <c r="H419" s="298">
        <f t="shared" si="6"/>
        <v>224280</v>
      </c>
    </row>
    <row r="420" spans="1:8" x14ac:dyDescent="0.2">
      <c r="A420" s="293" t="s">
        <v>580</v>
      </c>
      <c r="B420" s="488">
        <v>40</v>
      </c>
      <c r="C420" s="488">
        <v>40</v>
      </c>
      <c r="D420" s="294" t="s">
        <v>415</v>
      </c>
      <c r="E420" s="295">
        <v>14607</v>
      </c>
      <c r="F420" s="296">
        <v>4000</v>
      </c>
      <c r="G420" s="297">
        <v>48000</v>
      </c>
      <c r="H420" s="298">
        <f t="shared" si="6"/>
        <v>50400</v>
      </c>
    </row>
    <row r="421" spans="1:8" x14ac:dyDescent="0.2">
      <c r="A421" s="293" t="s">
        <v>670</v>
      </c>
      <c r="B421" s="488">
        <v>8</v>
      </c>
      <c r="C421" s="488">
        <v>8</v>
      </c>
      <c r="D421" s="294" t="s">
        <v>452</v>
      </c>
      <c r="E421" s="295">
        <v>14607</v>
      </c>
      <c r="F421" s="296">
        <v>5910</v>
      </c>
      <c r="G421" s="297">
        <v>143500</v>
      </c>
      <c r="H421" s="298">
        <f t="shared" si="6"/>
        <v>150675</v>
      </c>
    </row>
    <row r="422" spans="1:8" x14ac:dyDescent="0.2">
      <c r="A422" s="293" t="s">
        <v>507</v>
      </c>
      <c r="B422" s="488">
        <v>407</v>
      </c>
      <c r="C422" s="488">
        <v>407</v>
      </c>
      <c r="D422" s="294" t="s">
        <v>550</v>
      </c>
      <c r="E422" s="295">
        <v>14607</v>
      </c>
      <c r="F422" s="296">
        <v>1396</v>
      </c>
      <c r="G422" s="297">
        <v>5000</v>
      </c>
      <c r="H422" s="298">
        <f t="shared" si="6"/>
        <v>5250</v>
      </c>
    </row>
    <row r="423" spans="1:8" x14ac:dyDescent="0.2">
      <c r="A423" s="293" t="s">
        <v>707</v>
      </c>
      <c r="B423" s="488">
        <v>422</v>
      </c>
      <c r="C423" s="488">
        <v>432</v>
      </c>
      <c r="D423" s="294" t="s">
        <v>328</v>
      </c>
      <c r="E423" s="295">
        <v>14604</v>
      </c>
      <c r="F423" s="296">
        <v>8888</v>
      </c>
      <c r="G423" s="297">
        <v>110000</v>
      </c>
      <c r="H423" s="298">
        <f t="shared" si="6"/>
        <v>115500</v>
      </c>
    </row>
    <row r="424" spans="1:8" x14ac:dyDescent="0.2">
      <c r="A424" s="293" t="s">
        <v>708</v>
      </c>
      <c r="B424" s="488">
        <v>119</v>
      </c>
      <c r="C424" s="488">
        <v>119</v>
      </c>
      <c r="D424" s="294" t="s">
        <v>418</v>
      </c>
      <c r="E424" s="295">
        <v>14605</v>
      </c>
      <c r="F424" s="296">
        <v>4538</v>
      </c>
      <c r="G424" s="297">
        <v>2800</v>
      </c>
      <c r="H424" s="298">
        <f t="shared" si="6"/>
        <v>2940</v>
      </c>
    </row>
    <row r="425" spans="1:8" x14ac:dyDescent="0.2">
      <c r="A425" s="293" t="s">
        <v>570</v>
      </c>
      <c r="B425" s="488">
        <v>1</v>
      </c>
      <c r="C425" s="488">
        <v>1</v>
      </c>
      <c r="D425" s="294" t="s">
        <v>471</v>
      </c>
      <c r="E425" s="295">
        <v>14607</v>
      </c>
      <c r="F425" s="296">
        <v>2236</v>
      </c>
      <c r="G425" s="297">
        <v>103000</v>
      </c>
      <c r="H425" s="298">
        <f t="shared" si="6"/>
        <v>108150</v>
      </c>
    </row>
    <row r="426" spans="1:8" x14ac:dyDescent="0.2">
      <c r="A426" s="293" t="s">
        <v>491</v>
      </c>
      <c r="B426" s="488">
        <v>6</v>
      </c>
      <c r="C426" s="488">
        <v>6.5</v>
      </c>
      <c r="D426" s="294" t="s">
        <v>452</v>
      </c>
      <c r="E426" s="295">
        <v>14607</v>
      </c>
      <c r="F426" s="296">
        <v>4564</v>
      </c>
      <c r="G426" s="297">
        <v>15000</v>
      </c>
      <c r="H426" s="298">
        <f t="shared" si="6"/>
        <v>15750</v>
      </c>
    </row>
    <row r="427" spans="1:8" x14ac:dyDescent="0.2">
      <c r="A427" s="293" t="s">
        <v>709</v>
      </c>
      <c r="B427" s="488">
        <v>693</v>
      </c>
      <c r="C427" s="488">
        <v>693</v>
      </c>
      <c r="D427" s="294" t="s">
        <v>394</v>
      </c>
      <c r="E427" s="295">
        <v>14607</v>
      </c>
      <c r="F427" s="296">
        <v>7679</v>
      </c>
      <c r="G427" s="297">
        <v>133200</v>
      </c>
      <c r="H427" s="298">
        <f t="shared" si="6"/>
        <v>139860</v>
      </c>
    </row>
    <row r="428" spans="1:8" x14ac:dyDescent="0.2">
      <c r="A428" s="293" t="s">
        <v>533</v>
      </c>
      <c r="B428" s="488">
        <v>267</v>
      </c>
      <c r="C428" s="488">
        <v>267</v>
      </c>
      <c r="D428" s="294" t="s">
        <v>348</v>
      </c>
      <c r="E428" s="295">
        <v>14607</v>
      </c>
      <c r="F428" s="296">
        <v>8250</v>
      </c>
      <c r="G428" s="297">
        <v>162500</v>
      </c>
      <c r="H428" s="298">
        <f t="shared" si="6"/>
        <v>170625</v>
      </c>
    </row>
    <row r="429" spans="1:8" x14ac:dyDescent="0.2">
      <c r="A429" s="293" t="s">
        <v>710</v>
      </c>
      <c r="B429" s="488">
        <v>295</v>
      </c>
      <c r="C429" s="488">
        <v>295</v>
      </c>
      <c r="D429" s="294" t="s">
        <v>348</v>
      </c>
      <c r="E429" s="295">
        <v>14607</v>
      </c>
      <c r="F429" s="296">
        <v>8250</v>
      </c>
      <c r="G429" s="297">
        <v>142000</v>
      </c>
      <c r="H429" s="298">
        <f t="shared" si="6"/>
        <v>149100</v>
      </c>
    </row>
    <row r="430" spans="1:8" x14ac:dyDescent="0.2">
      <c r="A430" s="293" t="s">
        <v>711</v>
      </c>
      <c r="B430" s="488">
        <v>350</v>
      </c>
      <c r="C430" s="294" t="s">
        <v>712</v>
      </c>
      <c r="D430" s="294" t="s">
        <v>332</v>
      </c>
      <c r="E430" s="295">
        <v>14607</v>
      </c>
      <c r="F430" s="296">
        <v>1267</v>
      </c>
      <c r="G430" s="297">
        <v>107200</v>
      </c>
      <c r="H430" s="298">
        <f t="shared" si="6"/>
        <v>112560</v>
      </c>
    </row>
    <row r="431" spans="1:8" x14ac:dyDescent="0.2">
      <c r="A431" s="293" t="s">
        <v>519</v>
      </c>
      <c r="B431" s="488">
        <v>37</v>
      </c>
      <c r="C431" s="488">
        <v>37</v>
      </c>
      <c r="D431" s="294" t="s">
        <v>361</v>
      </c>
      <c r="E431" s="295">
        <v>14607</v>
      </c>
      <c r="F431" s="296">
        <v>18007</v>
      </c>
      <c r="G431" s="297">
        <v>194100</v>
      </c>
      <c r="H431" s="298">
        <f t="shared" si="6"/>
        <v>203805</v>
      </c>
    </row>
    <row r="432" spans="1:8" x14ac:dyDescent="0.2">
      <c r="A432" s="293" t="s">
        <v>578</v>
      </c>
      <c r="B432" s="488">
        <v>25</v>
      </c>
      <c r="C432" s="488">
        <v>25</v>
      </c>
      <c r="D432" s="294" t="s">
        <v>334</v>
      </c>
      <c r="E432" s="295">
        <v>14607</v>
      </c>
      <c r="F432" s="296">
        <v>6245</v>
      </c>
      <c r="G432" s="297">
        <v>13000</v>
      </c>
      <c r="H432" s="298">
        <f t="shared" si="6"/>
        <v>13650</v>
      </c>
    </row>
    <row r="433" spans="1:8" x14ac:dyDescent="0.2">
      <c r="A433" s="293" t="s">
        <v>713</v>
      </c>
      <c r="B433" s="488">
        <v>442</v>
      </c>
      <c r="C433" s="488">
        <v>442</v>
      </c>
      <c r="D433" s="294" t="s">
        <v>352</v>
      </c>
      <c r="E433" s="295">
        <v>14607</v>
      </c>
      <c r="F433" s="296">
        <v>7214</v>
      </c>
      <c r="G433" s="297">
        <v>36000</v>
      </c>
      <c r="H433" s="298">
        <f t="shared" si="6"/>
        <v>37800</v>
      </c>
    </row>
    <row r="434" spans="1:8" x14ac:dyDescent="0.2">
      <c r="A434" s="293" t="s">
        <v>367</v>
      </c>
      <c r="B434" s="488">
        <v>160</v>
      </c>
      <c r="C434" s="488">
        <v>160</v>
      </c>
      <c r="D434" s="294" t="s">
        <v>354</v>
      </c>
      <c r="E434" s="295">
        <v>14607</v>
      </c>
      <c r="F434" s="296">
        <v>3625</v>
      </c>
      <c r="G434" s="297">
        <v>98800</v>
      </c>
      <c r="H434" s="298">
        <f t="shared" si="6"/>
        <v>103740</v>
      </c>
    </row>
    <row r="435" spans="1:8" x14ac:dyDescent="0.2">
      <c r="A435" s="293" t="s">
        <v>714</v>
      </c>
      <c r="B435" s="488">
        <v>391</v>
      </c>
      <c r="C435" s="488">
        <v>391</v>
      </c>
      <c r="D435" s="294" t="s">
        <v>415</v>
      </c>
      <c r="E435" s="295">
        <v>14607</v>
      </c>
      <c r="F435" s="296">
        <v>3033</v>
      </c>
      <c r="G435" s="297">
        <v>107500</v>
      </c>
      <c r="H435" s="298">
        <f t="shared" si="6"/>
        <v>112875</v>
      </c>
    </row>
    <row r="436" spans="1:8" x14ac:dyDescent="0.2">
      <c r="A436" s="293" t="s">
        <v>715</v>
      </c>
      <c r="B436" s="488">
        <v>208</v>
      </c>
      <c r="C436" s="488">
        <v>208</v>
      </c>
      <c r="D436" s="294" t="s">
        <v>381</v>
      </c>
      <c r="E436" s="295">
        <v>14605</v>
      </c>
      <c r="F436" s="296">
        <v>4550</v>
      </c>
      <c r="G436" s="297">
        <v>2800</v>
      </c>
      <c r="H436" s="298">
        <f t="shared" si="6"/>
        <v>2940</v>
      </c>
    </row>
    <row r="437" spans="1:8" x14ac:dyDescent="0.2">
      <c r="A437" s="293" t="s">
        <v>716</v>
      </c>
      <c r="B437" s="488">
        <v>413</v>
      </c>
      <c r="C437" s="488">
        <v>413</v>
      </c>
      <c r="D437" s="294" t="s">
        <v>330</v>
      </c>
      <c r="E437" s="295">
        <v>14607</v>
      </c>
      <c r="F437" s="296">
        <v>4521</v>
      </c>
      <c r="G437" s="297">
        <v>11000</v>
      </c>
      <c r="H437" s="298">
        <f t="shared" si="6"/>
        <v>11550</v>
      </c>
    </row>
    <row r="438" spans="1:8" x14ac:dyDescent="0.2">
      <c r="A438" s="293" t="s">
        <v>616</v>
      </c>
      <c r="B438" s="488">
        <v>153</v>
      </c>
      <c r="C438" s="488">
        <v>153</v>
      </c>
      <c r="D438" s="294" t="s">
        <v>399</v>
      </c>
      <c r="E438" s="295">
        <v>14607</v>
      </c>
      <c r="F438" s="296">
        <v>45830</v>
      </c>
      <c r="G438" s="297">
        <v>641600</v>
      </c>
      <c r="H438" s="298">
        <f t="shared" si="6"/>
        <v>673680</v>
      </c>
    </row>
    <row r="439" spans="1:8" x14ac:dyDescent="0.2">
      <c r="A439" s="293" t="s">
        <v>717</v>
      </c>
      <c r="B439" s="488">
        <v>109</v>
      </c>
      <c r="C439" s="488">
        <v>109</v>
      </c>
      <c r="D439" s="294" t="s">
        <v>418</v>
      </c>
      <c r="E439" s="295">
        <v>14605</v>
      </c>
      <c r="F439" s="296">
        <v>4290</v>
      </c>
      <c r="G439" s="297">
        <v>35300</v>
      </c>
      <c r="H439" s="298">
        <f t="shared" si="6"/>
        <v>37065</v>
      </c>
    </row>
    <row r="440" spans="1:8" x14ac:dyDescent="0.2">
      <c r="A440" s="293" t="s">
        <v>598</v>
      </c>
      <c r="B440" s="488">
        <v>117</v>
      </c>
      <c r="C440" s="488">
        <v>117</v>
      </c>
      <c r="D440" s="294" t="s">
        <v>418</v>
      </c>
      <c r="E440" s="295">
        <v>14605</v>
      </c>
      <c r="F440" s="296">
        <v>4290</v>
      </c>
      <c r="G440" s="297">
        <v>35000</v>
      </c>
      <c r="H440" s="298">
        <f t="shared" si="6"/>
        <v>36750</v>
      </c>
    </row>
    <row r="441" spans="1:8" x14ac:dyDescent="0.2">
      <c r="A441" s="293" t="s">
        <v>406</v>
      </c>
      <c r="B441" s="488">
        <v>11</v>
      </c>
      <c r="C441" s="488">
        <v>11</v>
      </c>
      <c r="D441" s="294" t="s">
        <v>452</v>
      </c>
      <c r="E441" s="295">
        <v>14607</v>
      </c>
      <c r="F441" s="296">
        <v>8182</v>
      </c>
      <c r="G441" s="297">
        <v>132000</v>
      </c>
      <c r="H441" s="298">
        <f t="shared" si="6"/>
        <v>138600</v>
      </c>
    </row>
    <row r="442" spans="1:8" x14ac:dyDescent="0.2">
      <c r="A442" s="293" t="s">
        <v>458</v>
      </c>
      <c r="B442" s="488">
        <v>39</v>
      </c>
      <c r="C442" s="488">
        <v>39</v>
      </c>
      <c r="D442" s="294" t="s">
        <v>464</v>
      </c>
      <c r="E442" s="295">
        <v>14607</v>
      </c>
      <c r="F442" s="296">
        <v>4030</v>
      </c>
      <c r="G442" s="297">
        <v>90000</v>
      </c>
      <c r="H442" s="298">
        <f t="shared" si="6"/>
        <v>94500</v>
      </c>
    </row>
    <row r="443" spans="1:8" x14ac:dyDescent="0.2">
      <c r="A443" s="293" t="s">
        <v>718</v>
      </c>
      <c r="B443" s="488">
        <v>449</v>
      </c>
      <c r="C443" s="488">
        <v>449</v>
      </c>
      <c r="D443" s="294" t="s">
        <v>415</v>
      </c>
      <c r="E443" s="295">
        <v>14607</v>
      </c>
      <c r="F443" s="296">
        <v>4421</v>
      </c>
      <c r="G443" s="297">
        <v>10000</v>
      </c>
      <c r="H443" s="298">
        <f t="shared" si="6"/>
        <v>10500</v>
      </c>
    </row>
    <row r="444" spans="1:8" x14ac:dyDescent="0.2">
      <c r="A444" s="293" t="s">
        <v>442</v>
      </c>
      <c r="B444" s="488">
        <v>26</v>
      </c>
      <c r="C444" s="488">
        <v>26</v>
      </c>
      <c r="D444" s="294" t="s">
        <v>361</v>
      </c>
      <c r="E444" s="295">
        <v>14607</v>
      </c>
      <c r="F444" s="296">
        <v>2706</v>
      </c>
      <c r="G444" s="297">
        <v>65300</v>
      </c>
      <c r="H444" s="298">
        <f t="shared" si="6"/>
        <v>68565</v>
      </c>
    </row>
    <row r="445" spans="1:8" x14ac:dyDescent="0.2">
      <c r="A445" s="293" t="s">
        <v>719</v>
      </c>
      <c r="B445" s="488">
        <v>176</v>
      </c>
      <c r="C445" s="488">
        <v>178</v>
      </c>
      <c r="D445" s="294" t="s">
        <v>368</v>
      </c>
      <c r="E445" s="295">
        <v>14607</v>
      </c>
      <c r="F445" s="296">
        <v>1950</v>
      </c>
      <c r="G445" s="297">
        <v>132000</v>
      </c>
      <c r="H445" s="298">
        <f t="shared" si="6"/>
        <v>138600</v>
      </c>
    </row>
    <row r="446" spans="1:8" x14ac:dyDescent="0.2">
      <c r="A446" s="293" t="s">
        <v>720</v>
      </c>
      <c r="B446" s="488">
        <v>285</v>
      </c>
      <c r="C446" s="488">
        <v>285</v>
      </c>
      <c r="D446" s="294" t="s">
        <v>330</v>
      </c>
      <c r="E446" s="295">
        <v>14607</v>
      </c>
      <c r="F446" s="296">
        <v>3658</v>
      </c>
      <c r="G446" s="297">
        <v>23100</v>
      </c>
      <c r="H446" s="298">
        <f t="shared" si="6"/>
        <v>24255</v>
      </c>
    </row>
    <row r="447" spans="1:8" x14ac:dyDescent="0.2">
      <c r="A447" s="299" t="s">
        <v>721</v>
      </c>
      <c r="B447" s="489">
        <v>188</v>
      </c>
      <c r="C447" s="489">
        <v>190</v>
      </c>
      <c r="D447" s="300" t="s">
        <v>377</v>
      </c>
      <c r="E447" s="301">
        <v>14607</v>
      </c>
      <c r="F447" s="302">
        <v>6132</v>
      </c>
      <c r="G447" s="303">
        <v>100000</v>
      </c>
      <c r="H447" s="304">
        <f t="shared" si="6"/>
        <v>105000</v>
      </c>
    </row>
    <row r="448" spans="1:8" x14ac:dyDescent="0.2">
      <c r="A448" s="293" t="s">
        <v>722</v>
      </c>
      <c r="B448" s="488">
        <v>242</v>
      </c>
      <c r="C448" s="488">
        <v>248</v>
      </c>
      <c r="D448" s="294" t="s">
        <v>420</v>
      </c>
      <c r="E448" s="295">
        <v>14604</v>
      </c>
      <c r="F448" s="296">
        <v>4800</v>
      </c>
      <c r="G448" s="297">
        <v>188100</v>
      </c>
      <c r="H448" s="298">
        <f t="shared" si="6"/>
        <v>197505</v>
      </c>
    </row>
    <row r="449" spans="1:8" x14ac:dyDescent="0.2">
      <c r="A449" s="293" t="s">
        <v>609</v>
      </c>
      <c r="B449" s="488">
        <v>44</v>
      </c>
      <c r="C449" s="488">
        <v>44</v>
      </c>
      <c r="D449" s="294" t="s">
        <v>339</v>
      </c>
      <c r="E449" s="295">
        <v>14607</v>
      </c>
      <c r="F449" s="296">
        <v>3911</v>
      </c>
      <c r="G449" s="297">
        <v>121000</v>
      </c>
      <c r="H449" s="298">
        <f t="shared" si="6"/>
        <v>127050</v>
      </c>
    </row>
    <row r="450" spans="1:8" x14ac:dyDescent="0.2">
      <c r="A450" s="293" t="s">
        <v>723</v>
      </c>
      <c r="B450" s="488">
        <v>77</v>
      </c>
      <c r="C450" s="488">
        <v>77</v>
      </c>
      <c r="D450" s="294" t="s">
        <v>337</v>
      </c>
      <c r="E450" s="295">
        <v>14607</v>
      </c>
      <c r="F450" s="296">
        <v>2468</v>
      </c>
      <c r="G450" s="297">
        <v>130000</v>
      </c>
      <c r="H450" s="298">
        <f t="shared" si="6"/>
        <v>136500</v>
      </c>
    </row>
    <row r="451" spans="1:8" x14ac:dyDescent="0.2">
      <c r="A451" s="293" t="s">
        <v>678</v>
      </c>
      <c r="B451" s="488">
        <v>45</v>
      </c>
      <c r="C451" s="488">
        <v>45</v>
      </c>
      <c r="D451" s="294" t="s">
        <v>348</v>
      </c>
      <c r="E451" s="295">
        <v>14607</v>
      </c>
      <c r="F451" s="296">
        <v>7424</v>
      </c>
      <c r="G451" s="297">
        <v>12700</v>
      </c>
      <c r="H451" s="298">
        <f t="shared" si="6"/>
        <v>13335</v>
      </c>
    </row>
    <row r="452" spans="1:8" x14ac:dyDescent="0.2">
      <c r="A452" s="293" t="s">
        <v>724</v>
      </c>
      <c r="B452" s="488">
        <v>117</v>
      </c>
      <c r="C452" s="488">
        <v>119</v>
      </c>
      <c r="D452" s="294" t="s">
        <v>348</v>
      </c>
      <c r="E452" s="295">
        <v>14607</v>
      </c>
      <c r="F452" s="296">
        <v>9411</v>
      </c>
      <c r="G452" s="297">
        <v>215000</v>
      </c>
      <c r="H452" s="298">
        <f t="shared" si="6"/>
        <v>225750</v>
      </c>
    </row>
    <row r="453" spans="1:8" x14ac:dyDescent="0.2">
      <c r="A453" s="293" t="s">
        <v>395</v>
      </c>
      <c r="B453" s="488">
        <v>15</v>
      </c>
      <c r="C453" s="488">
        <v>15</v>
      </c>
      <c r="D453" s="294" t="s">
        <v>541</v>
      </c>
      <c r="E453" s="295">
        <v>14604</v>
      </c>
      <c r="F453" s="296">
        <v>832</v>
      </c>
      <c r="G453" s="297">
        <v>1000</v>
      </c>
      <c r="H453" s="298">
        <f t="shared" si="6"/>
        <v>1050</v>
      </c>
    </row>
    <row r="454" spans="1:8" x14ac:dyDescent="0.2">
      <c r="A454" s="293" t="s">
        <v>725</v>
      </c>
      <c r="B454" s="488">
        <v>83</v>
      </c>
      <c r="C454" s="488">
        <v>83</v>
      </c>
      <c r="D454" s="294" t="s">
        <v>361</v>
      </c>
      <c r="E454" s="295">
        <v>14607</v>
      </c>
      <c r="F454" s="296">
        <v>3704</v>
      </c>
      <c r="G454" s="297">
        <v>81000</v>
      </c>
      <c r="H454" s="298">
        <f t="shared" si="6"/>
        <v>85050</v>
      </c>
    </row>
    <row r="455" spans="1:8" x14ac:dyDescent="0.2">
      <c r="A455" s="293" t="s">
        <v>726</v>
      </c>
      <c r="B455" s="488">
        <v>360</v>
      </c>
      <c r="C455" s="488">
        <v>360</v>
      </c>
      <c r="D455" s="294" t="s">
        <v>550</v>
      </c>
      <c r="E455" s="295">
        <v>14607</v>
      </c>
      <c r="F455" s="296">
        <v>0</v>
      </c>
      <c r="G455" s="297">
        <v>646300</v>
      </c>
      <c r="H455" s="298">
        <f t="shared" ref="H455:H518" si="7">G455*1.05</f>
        <v>678615</v>
      </c>
    </row>
    <row r="456" spans="1:8" x14ac:dyDescent="0.2">
      <c r="A456" s="293" t="s">
        <v>727</v>
      </c>
      <c r="B456" s="488">
        <v>405</v>
      </c>
      <c r="C456" s="488">
        <v>405</v>
      </c>
      <c r="D456" s="294" t="s">
        <v>330</v>
      </c>
      <c r="E456" s="295">
        <v>14607</v>
      </c>
      <c r="F456" s="296">
        <v>6000</v>
      </c>
      <c r="G456" s="297">
        <v>112500</v>
      </c>
      <c r="H456" s="298">
        <f t="shared" si="7"/>
        <v>118125</v>
      </c>
    </row>
    <row r="457" spans="1:8" x14ac:dyDescent="0.2">
      <c r="A457" s="293" t="s">
        <v>728</v>
      </c>
      <c r="B457" s="488">
        <v>515</v>
      </c>
      <c r="C457" s="488">
        <v>525</v>
      </c>
      <c r="D457" s="294" t="s">
        <v>328</v>
      </c>
      <c r="E457" s="295">
        <v>14604</v>
      </c>
      <c r="F457" s="296">
        <v>3159</v>
      </c>
      <c r="G457" s="297">
        <v>185000</v>
      </c>
      <c r="H457" s="298">
        <f t="shared" si="7"/>
        <v>194250</v>
      </c>
    </row>
    <row r="458" spans="1:8" x14ac:dyDescent="0.2">
      <c r="A458" s="293" t="s">
        <v>416</v>
      </c>
      <c r="B458" s="488">
        <v>7</v>
      </c>
      <c r="C458" s="488">
        <v>7</v>
      </c>
      <c r="D458" s="294" t="s">
        <v>729</v>
      </c>
      <c r="E458" s="295">
        <v>14607</v>
      </c>
      <c r="F458" s="296">
        <v>5248</v>
      </c>
      <c r="G458" s="297">
        <v>159000</v>
      </c>
      <c r="H458" s="298">
        <f t="shared" si="7"/>
        <v>166950</v>
      </c>
    </row>
    <row r="459" spans="1:8" x14ac:dyDescent="0.2">
      <c r="A459" s="293" t="s">
        <v>730</v>
      </c>
      <c r="B459" s="488">
        <v>269</v>
      </c>
      <c r="C459" s="488">
        <v>269</v>
      </c>
      <c r="D459" s="294" t="s">
        <v>330</v>
      </c>
      <c r="E459" s="295">
        <v>14607</v>
      </c>
      <c r="F459" s="296">
        <v>10228</v>
      </c>
      <c r="G459" s="297">
        <v>201200</v>
      </c>
      <c r="H459" s="298">
        <f t="shared" si="7"/>
        <v>211260</v>
      </c>
    </row>
    <row r="460" spans="1:8" x14ac:dyDescent="0.2">
      <c r="A460" s="293" t="s">
        <v>731</v>
      </c>
      <c r="B460" s="488">
        <v>90</v>
      </c>
      <c r="C460" s="488">
        <v>92</v>
      </c>
      <c r="D460" s="294" t="s">
        <v>339</v>
      </c>
      <c r="E460" s="295">
        <v>14607</v>
      </c>
      <c r="F460" s="296">
        <v>7048</v>
      </c>
      <c r="G460" s="297">
        <v>180000</v>
      </c>
      <c r="H460" s="298">
        <f t="shared" si="7"/>
        <v>189000</v>
      </c>
    </row>
    <row r="461" spans="1:8" x14ac:dyDescent="0.2">
      <c r="A461" s="293" t="s">
        <v>732</v>
      </c>
      <c r="B461" s="488">
        <v>65</v>
      </c>
      <c r="C461" s="488">
        <v>65</v>
      </c>
      <c r="D461" s="294" t="s">
        <v>339</v>
      </c>
      <c r="E461" s="295">
        <v>14607</v>
      </c>
      <c r="F461" s="296">
        <v>1495</v>
      </c>
      <c r="G461" s="297">
        <v>7700</v>
      </c>
      <c r="H461" s="298">
        <f t="shared" si="7"/>
        <v>8085</v>
      </c>
    </row>
    <row r="462" spans="1:8" x14ac:dyDescent="0.2">
      <c r="A462" s="293" t="s">
        <v>733</v>
      </c>
      <c r="B462" s="488">
        <v>248</v>
      </c>
      <c r="C462" s="488">
        <v>250</v>
      </c>
      <c r="D462" s="294" t="s">
        <v>352</v>
      </c>
      <c r="E462" s="295">
        <v>14607</v>
      </c>
      <c r="F462" s="296">
        <v>3339</v>
      </c>
      <c r="G462" s="297">
        <v>190800</v>
      </c>
      <c r="H462" s="298">
        <f t="shared" si="7"/>
        <v>200340</v>
      </c>
    </row>
    <row r="463" spans="1:8" x14ac:dyDescent="0.2">
      <c r="A463" s="293" t="s">
        <v>554</v>
      </c>
      <c r="B463" s="488">
        <v>48</v>
      </c>
      <c r="C463" s="488">
        <v>48</v>
      </c>
      <c r="D463" s="294" t="s">
        <v>475</v>
      </c>
      <c r="E463" s="295">
        <v>14607</v>
      </c>
      <c r="F463" s="296">
        <v>1508</v>
      </c>
      <c r="G463" s="297">
        <v>84900</v>
      </c>
      <c r="H463" s="298">
        <f t="shared" si="7"/>
        <v>89145</v>
      </c>
    </row>
    <row r="464" spans="1:8" x14ac:dyDescent="0.2">
      <c r="A464" s="293" t="s">
        <v>734</v>
      </c>
      <c r="B464" s="488">
        <v>347</v>
      </c>
      <c r="C464" s="488">
        <v>347</v>
      </c>
      <c r="D464" s="294" t="s">
        <v>415</v>
      </c>
      <c r="E464" s="295">
        <v>14607</v>
      </c>
      <c r="F464" s="296">
        <v>2763</v>
      </c>
      <c r="G464" s="297">
        <v>144000</v>
      </c>
      <c r="H464" s="298">
        <f t="shared" si="7"/>
        <v>151200</v>
      </c>
    </row>
    <row r="465" spans="1:8" x14ac:dyDescent="0.2">
      <c r="A465" s="293" t="s">
        <v>534</v>
      </c>
      <c r="B465" s="488">
        <v>399</v>
      </c>
      <c r="C465" s="488">
        <v>399</v>
      </c>
      <c r="D465" s="294" t="s">
        <v>415</v>
      </c>
      <c r="E465" s="295">
        <v>14607</v>
      </c>
      <c r="F465" s="296">
        <v>1667</v>
      </c>
      <c r="G465" s="297">
        <v>104300</v>
      </c>
      <c r="H465" s="298">
        <f t="shared" si="7"/>
        <v>109515</v>
      </c>
    </row>
    <row r="466" spans="1:8" x14ac:dyDescent="0.2">
      <c r="A466" s="293" t="s">
        <v>735</v>
      </c>
      <c r="B466" s="488">
        <v>485</v>
      </c>
      <c r="C466" s="488">
        <v>495</v>
      </c>
      <c r="D466" s="294" t="s">
        <v>420</v>
      </c>
      <c r="E466" s="295">
        <v>14607</v>
      </c>
      <c r="F466" s="296">
        <v>33793</v>
      </c>
      <c r="G466" s="297">
        <v>1150000</v>
      </c>
      <c r="H466" s="298">
        <f t="shared" si="7"/>
        <v>1207500</v>
      </c>
    </row>
    <row r="467" spans="1:8" x14ac:dyDescent="0.2">
      <c r="A467" s="293" t="s">
        <v>488</v>
      </c>
      <c r="B467" s="488">
        <v>16</v>
      </c>
      <c r="C467" s="488">
        <v>16</v>
      </c>
      <c r="D467" s="294" t="s">
        <v>455</v>
      </c>
      <c r="E467" s="295">
        <v>14607</v>
      </c>
      <c r="F467" s="296">
        <v>3000</v>
      </c>
      <c r="G467" s="297">
        <v>96800</v>
      </c>
      <c r="H467" s="298">
        <f t="shared" si="7"/>
        <v>101640</v>
      </c>
    </row>
    <row r="468" spans="1:8" x14ac:dyDescent="0.2">
      <c r="A468" s="293" t="s">
        <v>736</v>
      </c>
      <c r="B468" s="488">
        <v>9</v>
      </c>
      <c r="C468" s="488">
        <v>9</v>
      </c>
      <c r="D468" s="294" t="s">
        <v>334</v>
      </c>
      <c r="E468" s="295">
        <v>14607</v>
      </c>
      <c r="F468" s="296">
        <v>26052</v>
      </c>
      <c r="G468" s="297">
        <v>305000</v>
      </c>
      <c r="H468" s="298">
        <f t="shared" si="7"/>
        <v>320250</v>
      </c>
    </row>
    <row r="469" spans="1:8" x14ac:dyDescent="0.2">
      <c r="A469" s="293" t="s">
        <v>372</v>
      </c>
      <c r="B469" s="488">
        <v>14</v>
      </c>
      <c r="C469" s="488">
        <v>14</v>
      </c>
      <c r="D469" s="294" t="s">
        <v>625</v>
      </c>
      <c r="E469" s="295">
        <v>14607</v>
      </c>
      <c r="F469" s="296">
        <v>30670</v>
      </c>
      <c r="G469" s="297">
        <v>310500</v>
      </c>
      <c r="H469" s="298">
        <f t="shared" si="7"/>
        <v>326025</v>
      </c>
    </row>
    <row r="470" spans="1:8" x14ac:dyDescent="0.2">
      <c r="A470" s="293" t="s">
        <v>737</v>
      </c>
      <c r="B470" s="488">
        <v>55</v>
      </c>
      <c r="C470" s="488">
        <v>55</v>
      </c>
      <c r="D470" s="294" t="s">
        <v>348</v>
      </c>
      <c r="E470" s="295">
        <v>14607</v>
      </c>
      <c r="F470" s="296">
        <v>6863</v>
      </c>
      <c r="G470" s="297">
        <v>190000</v>
      </c>
      <c r="H470" s="298">
        <f t="shared" si="7"/>
        <v>199500</v>
      </c>
    </row>
    <row r="471" spans="1:8" x14ac:dyDescent="0.2">
      <c r="A471" s="293" t="s">
        <v>434</v>
      </c>
      <c r="B471" s="488">
        <v>96</v>
      </c>
      <c r="C471" s="488">
        <v>96</v>
      </c>
      <c r="D471" s="294" t="s">
        <v>361</v>
      </c>
      <c r="E471" s="295">
        <v>14607</v>
      </c>
      <c r="F471" s="296">
        <v>1320</v>
      </c>
      <c r="G471" s="297">
        <v>50900</v>
      </c>
      <c r="H471" s="298">
        <f t="shared" si="7"/>
        <v>53445</v>
      </c>
    </row>
    <row r="472" spans="1:8" x14ac:dyDescent="0.2">
      <c r="A472" s="293" t="s">
        <v>738</v>
      </c>
      <c r="B472" s="488">
        <v>190</v>
      </c>
      <c r="C472" s="488">
        <v>194</v>
      </c>
      <c r="D472" s="294" t="s">
        <v>352</v>
      </c>
      <c r="E472" s="295">
        <v>14607</v>
      </c>
      <c r="F472" s="296">
        <v>5400</v>
      </c>
      <c r="G472" s="297">
        <v>75000</v>
      </c>
      <c r="H472" s="298">
        <f t="shared" si="7"/>
        <v>78750</v>
      </c>
    </row>
    <row r="473" spans="1:8" x14ac:dyDescent="0.2">
      <c r="A473" s="293" t="s">
        <v>739</v>
      </c>
      <c r="B473" s="488">
        <v>397</v>
      </c>
      <c r="C473" s="294" t="s">
        <v>740</v>
      </c>
      <c r="D473" s="294" t="s">
        <v>330</v>
      </c>
      <c r="E473" s="295">
        <v>14607</v>
      </c>
      <c r="F473" s="296">
        <v>1173</v>
      </c>
      <c r="G473" s="297">
        <v>108800</v>
      </c>
      <c r="H473" s="298">
        <f t="shared" si="7"/>
        <v>114240</v>
      </c>
    </row>
    <row r="474" spans="1:8" x14ac:dyDescent="0.2">
      <c r="A474" s="293" t="s">
        <v>385</v>
      </c>
      <c r="B474" s="488">
        <v>403</v>
      </c>
      <c r="C474" s="488">
        <v>403</v>
      </c>
      <c r="D474" s="294" t="s">
        <v>328</v>
      </c>
      <c r="E474" s="295">
        <v>14604</v>
      </c>
      <c r="F474" s="296">
        <v>7180</v>
      </c>
      <c r="G474" s="297">
        <v>100000</v>
      </c>
      <c r="H474" s="298">
        <f t="shared" si="7"/>
        <v>105000</v>
      </c>
    </row>
    <row r="475" spans="1:8" x14ac:dyDescent="0.2">
      <c r="A475" s="293" t="s">
        <v>412</v>
      </c>
      <c r="B475" s="488">
        <v>2</v>
      </c>
      <c r="C475" s="488">
        <v>2</v>
      </c>
      <c r="D475" s="294" t="s">
        <v>495</v>
      </c>
      <c r="E475" s="295">
        <v>14605</v>
      </c>
      <c r="F475" s="296">
        <v>1090</v>
      </c>
      <c r="G475" s="297">
        <v>128300</v>
      </c>
      <c r="H475" s="298">
        <f t="shared" si="7"/>
        <v>134715</v>
      </c>
    </row>
    <row r="476" spans="1:8" x14ac:dyDescent="0.2">
      <c r="A476" s="293" t="s">
        <v>736</v>
      </c>
      <c r="B476" s="488">
        <v>9</v>
      </c>
      <c r="C476" s="488">
        <v>9</v>
      </c>
      <c r="D476" s="294" t="s">
        <v>495</v>
      </c>
      <c r="E476" s="295">
        <v>14605</v>
      </c>
      <c r="F476" s="296">
        <v>3047</v>
      </c>
      <c r="G476" s="297">
        <v>253000</v>
      </c>
      <c r="H476" s="298">
        <f t="shared" si="7"/>
        <v>265650</v>
      </c>
    </row>
    <row r="477" spans="1:8" x14ac:dyDescent="0.2">
      <c r="A477" s="293" t="s">
        <v>563</v>
      </c>
      <c r="B477" s="488">
        <v>85</v>
      </c>
      <c r="C477" s="488">
        <v>85</v>
      </c>
      <c r="D477" s="294" t="s">
        <v>361</v>
      </c>
      <c r="E477" s="295">
        <v>14607</v>
      </c>
      <c r="F477" s="296">
        <v>3984</v>
      </c>
      <c r="G477" s="297">
        <v>85000</v>
      </c>
      <c r="H477" s="298">
        <f t="shared" si="7"/>
        <v>89250</v>
      </c>
    </row>
    <row r="478" spans="1:8" x14ac:dyDescent="0.2">
      <c r="A478" s="293" t="s">
        <v>602</v>
      </c>
      <c r="B478" s="488">
        <v>60</v>
      </c>
      <c r="C478" s="488">
        <v>60</v>
      </c>
      <c r="D478" s="294" t="s">
        <v>337</v>
      </c>
      <c r="E478" s="295">
        <v>14607</v>
      </c>
      <c r="F478" s="296">
        <v>13594</v>
      </c>
      <c r="G478" s="297">
        <v>260000</v>
      </c>
      <c r="H478" s="298">
        <f t="shared" si="7"/>
        <v>273000</v>
      </c>
    </row>
    <row r="479" spans="1:8" x14ac:dyDescent="0.2">
      <c r="A479" s="293" t="s">
        <v>459</v>
      </c>
      <c r="B479" s="488">
        <v>10</v>
      </c>
      <c r="C479" s="488">
        <v>10</v>
      </c>
      <c r="D479" s="294" t="s">
        <v>424</v>
      </c>
      <c r="E479" s="295">
        <v>14607</v>
      </c>
      <c r="F479" s="296">
        <v>11535</v>
      </c>
      <c r="G479" s="297">
        <v>262100</v>
      </c>
      <c r="H479" s="298">
        <f t="shared" si="7"/>
        <v>275205</v>
      </c>
    </row>
    <row r="480" spans="1:8" x14ac:dyDescent="0.2">
      <c r="A480" s="293" t="s">
        <v>486</v>
      </c>
      <c r="B480" s="488">
        <v>225</v>
      </c>
      <c r="C480" s="488">
        <v>225</v>
      </c>
      <c r="D480" s="294" t="s">
        <v>348</v>
      </c>
      <c r="E480" s="295">
        <v>14607</v>
      </c>
      <c r="F480" s="296">
        <v>4876</v>
      </c>
      <c r="G480" s="297">
        <v>200000</v>
      </c>
      <c r="H480" s="298">
        <f t="shared" si="7"/>
        <v>210000</v>
      </c>
    </row>
    <row r="481" spans="1:8" x14ac:dyDescent="0.2">
      <c r="A481" s="293" t="s">
        <v>741</v>
      </c>
      <c r="B481" s="488">
        <v>454</v>
      </c>
      <c r="C481" s="488">
        <v>454</v>
      </c>
      <c r="D481" s="294" t="s">
        <v>550</v>
      </c>
      <c r="E481" s="295">
        <v>14607</v>
      </c>
      <c r="F481" s="296">
        <v>52272</v>
      </c>
      <c r="G481" s="297">
        <v>460000</v>
      </c>
      <c r="H481" s="298">
        <f t="shared" si="7"/>
        <v>483000</v>
      </c>
    </row>
    <row r="482" spans="1:8" x14ac:dyDescent="0.2">
      <c r="A482" s="293" t="s">
        <v>742</v>
      </c>
      <c r="B482" s="488">
        <v>536</v>
      </c>
      <c r="C482" s="488">
        <v>542</v>
      </c>
      <c r="D482" s="294" t="s">
        <v>328</v>
      </c>
      <c r="E482" s="295">
        <v>14604</v>
      </c>
      <c r="F482" s="296">
        <v>11402</v>
      </c>
      <c r="G482" s="297">
        <v>608500</v>
      </c>
      <c r="H482" s="298">
        <f t="shared" si="7"/>
        <v>638925</v>
      </c>
    </row>
    <row r="483" spans="1:8" x14ac:dyDescent="0.2">
      <c r="A483" s="293" t="s">
        <v>743</v>
      </c>
      <c r="B483" s="488">
        <v>105</v>
      </c>
      <c r="C483" s="488">
        <v>105</v>
      </c>
      <c r="D483" s="294" t="s">
        <v>418</v>
      </c>
      <c r="E483" s="295">
        <v>14605</v>
      </c>
      <c r="F483" s="296">
        <v>8580</v>
      </c>
      <c r="G483" s="297">
        <v>35400</v>
      </c>
      <c r="H483" s="298">
        <f t="shared" si="7"/>
        <v>37170</v>
      </c>
    </row>
    <row r="484" spans="1:8" x14ac:dyDescent="0.2">
      <c r="A484" s="293" t="s">
        <v>744</v>
      </c>
      <c r="B484" s="488">
        <v>29</v>
      </c>
      <c r="C484" s="488">
        <v>33</v>
      </c>
      <c r="D484" s="294" t="s">
        <v>361</v>
      </c>
      <c r="E484" s="295">
        <v>14607</v>
      </c>
      <c r="F484" s="296">
        <v>10836</v>
      </c>
      <c r="G484" s="297">
        <v>335800</v>
      </c>
      <c r="H484" s="298">
        <f t="shared" si="7"/>
        <v>352590</v>
      </c>
    </row>
    <row r="485" spans="1:8" x14ac:dyDescent="0.2">
      <c r="A485" s="293" t="s">
        <v>745</v>
      </c>
      <c r="B485" s="488">
        <v>62</v>
      </c>
      <c r="C485" s="488">
        <v>64</v>
      </c>
      <c r="D485" s="294" t="s">
        <v>365</v>
      </c>
      <c r="E485" s="295">
        <v>14604</v>
      </c>
      <c r="F485" s="296">
        <v>11004</v>
      </c>
      <c r="G485" s="297">
        <v>55000</v>
      </c>
      <c r="H485" s="298">
        <f t="shared" si="7"/>
        <v>57750</v>
      </c>
    </row>
    <row r="486" spans="1:8" x14ac:dyDescent="0.2">
      <c r="A486" s="293" t="s">
        <v>746</v>
      </c>
      <c r="B486" s="488">
        <v>261</v>
      </c>
      <c r="C486" s="488">
        <v>263</v>
      </c>
      <c r="D486" s="294" t="s">
        <v>381</v>
      </c>
      <c r="E486" s="295">
        <v>14605</v>
      </c>
      <c r="F486" s="296">
        <v>4816</v>
      </c>
      <c r="G486" s="297">
        <v>53300</v>
      </c>
      <c r="H486" s="298">
        <f t="shared" si="7"/>
        <v>55965</v>
      </c>
    </row>
    <row r="487" spans="1:8" x14ac:dyDescent="0.2">
      <c r="A487" s="293" t="s">
        <v>747</v>
      </c>
      <c r="B487" s="488">
        <v>275</v>
      </c>
      <c r="C487" s="488">
        <v>277</v>
      </c>
      <c r="D487" s="294" t="s">
        <v>381</v>
      </c>
      <c r="E487" s="295">
        <v>14605</v>
      </c>
      <c r="F487" s="296">
        <v>10324</v>
      </c>
      <c r="G487" s="297">
        <v>52500</v>
      </c>
      <c r="H487" s="298">
        <f t="shared" si="7"/>
        <v>55125</v>
      </c>
    </row>
    <row r="488" spans="1:8" x14ac:dyDescent="0.2">
      <c r="A488" s="293" t="s">
        <v>356</v>
      </c>
      <c r="B488" s="488">
        <v>293</v>
      </c>
      <c r="C488" s="488">
        <v>293</v>
      </c>
      <c r="D488" s="294" t="s">
        <v>381</v>
      </c>
      <c r="E488" s="295">
        <v>14605</v>
      </c>
      <c r="F488" s="296">
        <v>3168</v>
      </c>
      <c r="G488" s="297">
        <v>45000</v>
      </c>
      <c r="H488" s="298">
        <f t="shared" si="7"/>
        <v>47250</v>
      </c>
    </row>
    <row r="489" spans="1:8" x14ac:dyDescent="0.2">
      <c r="A489" s="293" t="s">
        <v>716</v>
      </c>
      <c r="B489" s="488">
        <v>413</v>
      </c>
      <c r="C489" s="488">
        <v>413</v>
      </c>
      <c r="D489" s="294" t="s">
        <v>415</v>
      </c>
      <c r="E489" s="295">
        <v>14607</v>
      </c>
      <c r="F489" s="296">
        <v>1667</v>
      </c>
      <c r="G489" s="297">
        <v>110000</v>
      </c>
      <c r="H489" s="298">
        <f t="shared" si="7"/>
        <v>115500</v>
      </c>
    </row>
    <row r="490" spans="1:8" x14ac:dyDescent="0.2">
      <c r="A490" s="293" t="s">
        <v>748</v>
      </c>
      <c r="B490" s="488">
        <v>10</v>
      </c>
      <c r="C490" s="488">
        <v>1</v>
      </c>
      <c r="D490" s="294" t="s">
        <v>495</v>
      </c>
      <c r="E490" s="295">
        <v>14605</v>
      </c>
      <c r="F490" s="296">
        <v>2878</v>
      </c>
      <c r="G490" s="297">
        <v>280000</v>
      </c>
      <c r="H490" s="298">
        <f t="shared" si="7"/>
        <v>294000</v>
      </c>
    </row>
    <row r="491" spans="1:8" x14ac:dyDescent="0.2">
      <c r="A491" s="293" t="s">
        <v>749</v>
      </c>
      <c r="B491" s="488">
        <v>393</v>
      </c>
      <c r="C491" s="488">
        <v>393</v>
      </c>
      <c r="D491" s="294" t="s">
        <v>330</v>
      </c>
      <c r="E491" s="295">
        <v>14607</v>
      </c>
      <c r="F491" s="296">
        <v>11191</v>
      </c>
      <c r="G491" s="297">
        <v>1100</v>
      </c>
      <c r="H491" s="298">
        <f t="shared" si="7"/>
        <v>1155</v>
      </c>
    </row>
    <row r="492" spans="1:8" x14ac:dyDescent="0.2">
      <c r="A492" s="293" t="s">
        <v>750</v>
      </c>
      <c r="B492" s="488">
        <v>364</v>
      </c>
      <c r="C492" s="488">
        <v>364.5</v>
      </c>
      <c r="D492" s="294" t="s">
        <v>330</v>
      </c>
      <c r="E492" s="295">
        <v>14607</v>
      </c>
      <c r="F492" s="296">
        <v>7940</v>
      </c>
      <c r="G492" s="297">
        <v>108000</v>
      </c>
      <c r="H492" s="298">
        <f t="shared" si="7"/>
        <v>113400</v>
      </c>
    </row>
    <row r="493" spans="1:8" x14ac:dyDescent="0.2">
      <c r="A493" s="293" t="s">
        <v>751</v>
      </c>
      <c r="B493" s="488">
        <v>109</v>
      </c>
      <c r="C493" s="488">
        <v>115</v>
      </c>
      <c r="D493" s="294" t="s">
        <v>368</v>
      </c>
      <c r="E493" s="295">
        <v>14607</v>
      </c>
      <c r="F493" s="296">
        <v>8910</v>
      </c>
      <c r="G493" s="297">
        <v>116000</v>
      </c>
      <c r="H493" s="298">
        <f t="shared" si="7"/>
        <v>121800</v>
      </c>
    </row>
    <row r="494" spans="1:8" x14ac:dyDescent="0.2">
      <c r="A494" s="293" t="s">
        <v>681</v>
      </c>
      <c r="B494" s="488">
        <v>289</v>
      </c>
      <c r="C494" s="488">
        <v>289</v>
      </c>
      <c r="D494" s="294" t="s">
        <v>352</v>
      </c>
      <c r="E494" s="295">
        <v>14607</v>
      </c>
      <c r="F494" s="296">
        <v>4488</v>
      </c>
      <c r="G494" s="297">
        <v>209000</v>
      </c>
      <c r="H494" s="298">
        <f t="shared" si="7"/>
        <v>219450</v>
      </c>
    </row>
    <row r="495" spans="1:8" x14ac:dyDescent="0.2">
      <c r="A495" s="293" t="s">
        <v>355</v>
      </c>
      <c r="B495" s="488">
        <v>43</v>
      </c>
      <c r="C495" s="488">
        <v>43</v>
      </c>
      <c r="D495" s="294" t="s">
        <v>455</v>
      </c>
      <c r="E495" s="295">
        <v>14607</v>
      </c>
      <c r="F495" s="296">
        <v>2922</v>
      </c>
      <c r="G495" s="297">
        <v>4000</v>
      </c>
      <c r="H495" s="298">
        <f t="shared" si="7"/>
        <v>4200</v>
      </c>
    </row>
    <row r="496" spans="1:8" x14ac:dyDescent="0.2">
      <c r="A496" s="293" t="s">
        <v>529</v>
      </c>
      <c r="B496" s="488">
        <v>56</v>
      </c>
      <c r="C496" s="488">
        <v>56</v>
      </c>
      <c r="D496" s="294" t="s">
        <v>399</v>
      </c>
      <c r="E496" s="295">
        <v>14607</v>
      </c>
      <c r="F496" s="296">
        <v>7890</v>
      </c>
      <c r="G496" s="297">
        <v>177800</v>
      </c>
      <c r="H496" s="298">
        <f t="shared" si="7"/>
        <v>186690</v>
      </c>
    </row>
    <row r="497" spans="1:8" x14ac:dyDescent="0.2">
      <c r="A497" s="293" t="s">
        <v>752</v>
      </c>
      <c r="B497" s="488">
        <v>368</v>
      </c>
      <c r="C497" s="488">
        <v>368.5</v>
      </c>
      <c r="D497" s="294" t="s">
        <v>330</v>
      </c>
      <c r="E497" s="295">
        <v>14607</v>
      </c>
      <c r="F497" s="296">
        <v>4505</v>
      </c>
      <c r="G497" s="297">
        <v>96000</v>
      </c>
      <c r="H497" s="298">
        <f t="shared" si="7"/>
        <v>100800</v>
      </c>
    </row>
    <row r="498" spans="1:8" x14ac:dyDescent="0.2">
      <c r="A498" s="293" t="s">
        <v>753</v>
      </c>
      <c r="B498" s="488">
        <v>158</v>
      </c>
      <c r="C498" s="488">
        <v>158</v>
      </c>
      <c r="D498" s="294" t="s">
        <v>363</v>
      </c>
      <c r="E498" s="295">
        <v>14605</v>
      </c>
      <c r="F498" s="296">
        <v>1184</v>
      </c>
      <c r="G498" s="297">
        <v>110000</v>
      </c>
      <c r="H498" s="298">
        <f t="shared" si="7"/>
        <v>115500</v>
      </c>
    </row>
    <row r="499" spans="1:8" x14ac:dyDescent="0.2">
      <c r="A499" s="293" t="s">
        <v>754</v>
      </c>
      <c r="B499" s="488">
        <v>130</v>
      </c>
      <c r="C499" s="488">
        <v>152</v>
      </c>
      <c r="D499" s="294" t="s">
        <v>363</v>
      </c>
      <c r="E499" s="295">
        <v>14605</v>
      </c>
      <c r="F499" s="296">
        <v>15035</v>
      </c>
      <c r="G499" s="297">
        <v>805000</v>
      </c>
      <c r="H499" s="298">
        <f t="shared" si="7"/>
        <v>845250</v>
      </c>
    </row>
    <row r="500" spans="1:8" x14ac:dyDescent="0.2">
      <c r="A500" s="293" t="s">
        <v>755</v>
      </c>
      <c r="B500" s="488">
        <v>705</v>
      </c>
      <c r="C500" s="488">
        <v>705</v>
      </c>
      <c r="D500" s="294" t="s">
        <v>328</v>
      </c>
      <c r="E500" s="295">
        <v>14605</v>
      </c>
      <c r="F500" s="296">
        <v>300</v>
      </c>
      <c r="G500" s="297">
        <v>300</v>
      </c>
      <c r="H500" s="298">
        <f t="shared" si="7"/>
        <v>315</v>
      </c>
    </row>
    <row r="501" spans="1:8" x14ac:dyDescent="0.2">
      <c r="A501" s="293" t="s">
        <v>756</v>
      </c>
      <c r="B501" s="488">
        <v>270</v>
      </c>
      <c r="C501" s="488">
        <v>270</v>
      </c>
      <c r="D501" s="294" t="s">
        <v>365</v>
      </c>
      <c r="E501" s="295">
        <v>14605</v>
      </c>
      <c r="F501" s="296">
        <v>17220</v>
      </c>
      <c r="G501" s="297">
        <v>355900</v>
      </c>
      <c r="H501" s="298">
        <f t="shared" si="7"/>
        <v>373695</v>
      </c>
    </row>
    <row r="502" spans="1:8" x14ac:dyDescent="0.2">
      <c r="A502" s="293" t="s">
        <v>757</v>
      </c>
      <c r="B502" s="488">
        <v>93</v>
      </c>
      <c r="C502" s="488">
        <v>93</v>
      </c>
      <c r="D502" s="294" t="s">
        <v>361</v>
      </c>
      <c r="E502" s="295">
        <v>14607</v>
      </c>
      <c r="F502" s="296">
        <v>3674</v>
      </c>
      <c r="G502" s="297">
        <v>57600</v>
      </c>
      <c r="H502" s="298">
        <f t="shared" si="7"/>
        <v>60480</v>
      </c>
    </row>
    <row r="503" spans="1:8" x14ac:dyDescent="0.2">
      <c r="A503" s="293" t="s">
        <v>336</v>
      </c>
      <c r="B503" s="488">
        <v>59</v>
      </c>
      <c r="C503" s="488">
        <v>59</v>
      </c>
      <c r="D503" s="294" t="s">
        <v>410</v>
      </c>
      <c r="E503" s="295">
        <v>14605</v>
      </c>
      <c r="F503" s="296">
        <v>3045</v>
      </c>
      <c r="G503" s="297">
        <v>15800</v>
      </c>
      <c r="H503" s="298">
        <f t="shared" si="7"/>
        <v>16590</v>
      </c>
    </row>
    <row r="504" spans="1:8" x14ac:dyDescent="0.2">
      <c r="A504" s="293" t="s">
        <v>372</v>
      </c>
      <c r="B504" s="488">
        <v>14</v>
      </c>
      <c r="C504" s="488">
        <v>14</v>
      </c>
      <c r="D504" s="294" t="s">
        <v>495</v>
      </c>
      <c r="E504" s="295">
        <v>14605</v>
      </c>
      <c r="F504" s="296">
        <v>4208</v>
      </c>
      <c r="G504" s="297">
        <v>298000</v>
      </c>
      <c r="H504" s="298">
        <f t="shared" si="7"/>
        <v>312900</v>
      </c>
    </row>
    <row r="505" spans="1:8" x14ac:dyDescent="0.2">
      <c r="A505" s="293" t="s">
        <v>489</v>
      </c>
      <c r="B505" s="488">
        <v>68</v>
      </c>
      <c r="C505" s="488">
        <v>68</v>
      </c>
      <c r="D505" s="294" t="s">
        <v>337</v>
      </c>
      <c r="E505" s="295">
        <v>14607</v>
      </c>
      <c r="F505" s="296">
        <v>2914</v>
      </c>
      <c r="G505" s="297">
        <v>8000</v>
      </c>
      <c r="H505" s="298">
        <f t="shared" si="7"/>
        <v>8400</v>
      </c>
    </row>
    <row r="506" spans="1:8" x14ac:dyDescent="0.2">
      <c r="A506" s="293" t="s">
        <v>537</v>
      </c>
      <c r="B506" s="488">
        <v>41</v>
      </c>
      <c r="C506" s="488">
        <v>41</v>
      </c>
      <c r="D506" s="294" t="s">
        <v>337</v>
      </c>
      <c r="E506" s="295">
        <v>14607</v>
      </c>
      <c r="F506" s="296">
        <v>3680</v>
      </c>
      <c r="G506" s="297">
        <v>105000</v>
      </c>
      <c r="H506" s="298">
        <f t="shared" si="7"/>
        <v>110250</v>
      </c>
    </row>
    <row r="507" spans="1:8" x14ac:dyDescent="0.2">
      <c r="A507" s="293" t="s">
        <v>758</v>
      </c>
      <c r="B507" s="488">
        <v>101</v>
      </c>
      <c r="C507" s="488">
        <v>105</v>
      </c>
      <c r="D507" s="294" t="s">
        <v>368</v>
      </c>
      <c r="E507" s="295">
        <v>14607</v>
      </c>
      <c r="F507" s="296">
        <v>5507</v>
      </c>
      <c r="G507" s="297">
        <v>2000</v>
      </c>
      <c r="H507" s="298">
        <f t="shared" si="7"/>
        <v>2100</v>
      </c>
    </row>
    <row r="508" spans="1:8" x14ac:dyDescent="0.2">
      <c r="A508" s="293" t="s">
        <v>697</v>
      </c>
      <c r="B508" s="488">
        <v>441</v>
      </c>
      <c r="C508" s="488">
        <v>441</v>
      </c>
      <c r="D508" s="294" t="s">
        <v>420</v>
      </c>
      <c r="E508" s="295">
        <v>14607</v>
      </c>
      <c r="F508" s="296">
        <v>74051</v>
      </c>
      <c r="G508" s="297">
        <v>950000</v>
      </c>
      <c r="H508" s="298">
        <f t="shared" si="7"/>
        <v>997500</v>
      </c>
    </row>
    <row r="509" spans="1:8" x14ac:dyDescent="0.2">
      <c r="A509" s="293" t="s">
        <v>623</v>
      </c>
      <c r="B509" s="488">
        <v>27</v>
      </c>
      <c r="C509" s="488">
        <v>27</v>
      </c>
      <c r="D509" s="294" t="s">
        <v>455</v>
      </c>
      <c r="E509" s="295">
        <v>14607</v>
      </c>
      <c r="F509" s="296">
        <v>3018</v>
      </c>
      <c r="G509" s="297">
        <v>155000</v>
      </c>
      <c r="H509" s="298">
        <f t="shared" si="7"/>
        <v>162750</v>
      </c>
    </row>
    <row r="510" spans="1:8" x14ac:dyDescent="0.2">
      <c r="A510" s="299" t="s">
        <v>759</v>
      </c>
      <c r="B510" s="489">
        <v>115</v>
      </c>
      <c r="C510" s="489">
        <v>117</v>
      </c>
      <c r="D510" s="300" t="s">
        <v>339</v>
      </c>
      <c r="E510" s="301">
        <v>14607</v>
      </c>
      <c r="F510" s="302">
        <v>4483</v>
      </c>
      <c r="G510" s="303">
        <v>225000</v>
      </c>
      <c r="H510" s="304">
        <f t="shared" si="7"/>
        <v>236250</v>
      </c>
    </row>
    <row r="511" spans="1:8" x14ac:dyDescent="0.2">
      <c r="A511" s="293" t="s">
        <v>760</v>
      </c>
      <c r="B511" s="488">
        <v>378</v>
      </c>
      <c r="C511" s="488">
        <v>378</v>
      </c>
      <c r="D511" s="294" t="s">
        <v>330</v>
      </c>
      <c r="E511" s="295">
        <v>14607</v>
      </c>
      <c r="F511" s="296">
        <v>5495</v>
      </c>
      <c r="G511" s="297">
        <v>147000</v>
      </c>
      <c r="H511" s="298">
        <f t="shared" si="7"/>
        <v>154350</v>
      </c>
    </row>
    <row r="512" spans="1:8" x14ac:dyDescent="0.2">
      <c r="A512" s="293" t="s">
        <v>761</v>
      </c>
      <c r="B512" s="488">
        <v>325</v>
      </c>
      <c r="C512" s="488">
        <v>325</v>
      </c>
      <c r="D512" s="294" t="s">
        <v>330</v>
      </c>
      <c r="E512" s="295">
        <v>14607</v>
      </c>
      <c r="F512" s="296">
        <v>7548</v>
      </c>
      <c r="G512" s="297">
        <v>918000</v>
      </c>
      <c r="H512" s="298">
        <f t="shared" si="7"/>
        <v>963900</v>
      </c>
    </row>
    <row r="513" spans="1:8" x14ac:dyDescent="0.2">
      <c r="A513" s="293" t="s">
        <v>762</v>
      </c>
      <c r="B513" s="488">
        <v>140</v>
      </c>
      <c r="C513" s="488">
        <v>5</v>
      </c>
      <c r="D513" s="294" t="s">
        <v>341</v>
      </c>
      <c r="E513" s="295">
        <v>14605</v>
      </c>
      <c r="F513" s="296">
        <v>3880</v>
      </c>
      <c r="G513" s="297">
        <v>19000</v>
      </c>
      <c r="H513" s="298">
        <f t="shared" si="7"/>
        <v>19950</v>
      </c>
    </row>
    <row r="514" spans="1:8" x14ac:dyDescent="0.2">
      <c r="A514" s="293" t="s">
        <v>588</v>
      </c>
      <c r="B514" s="488">
        <v>111</v>
      </c>
      <c r="C514" s="488">
        <v>111</v>
      </c>
      <c r="D514" s="294" t="s">
        <v>348</v>
      </c>
      <c r="E514" s="295">
        <v>14607</v>
      </c>
      <c r="F514" s="296">
        <v>7103</v>
      </c>
      <c r="G514" s="297">
        <v>200000</v>
      </c>
      <c r="H514" s="298">
        <f t="shared" si="7"/>
        <v>210000</v>
      </c>
    </row>
    <row r="515" spans="1:8" x14ac:dyDescent="0.2">
      <c r="A515" s="293" t="s">
        <v>486</v>
      </c>
      <c r="B515" s="488">
        <v>225</v>
      </c>
      <c r="C515" s="488">
        <v>225</v>
      </c>
      <c r="D515" s="294" t="s">
        <v>330</v>
      </c>
      <c r="E515" s="295">
        <v>14607</v>
      </c>
      <c r="F515" s="296">
        <v>6471</v>
      </c>
      <c r="G515" s="297">
        <v>150000</v>
      </c>
      <c r="H515" s="298">
        <f t="shared" si="7"/>
        <v>157500</v>
      </c>
    </row>
    <row r="516" spans="1:8" x14ac:dyDescent="0.2">
      <c r="A516" s="293" t="s">
        <v>336</v>
      </c>
      <c r="B516" s="488">
        <v>59</v>
      </c>
      <c r="C516" s="488">
        <v>59</v>
      </c>
      <c r="D516" s="294" t="s">
        <v>475</v>
      </c>
      <c r="E516" s="295">
        <v>14607</v>
      </c>
      <c r="F516" s="296">
        <v>5265</v>
      </c>
      <c r="G516" s="297">
        <v>21500</v>
      </c>
      <c r="H516" s="298">
        <f t="shared" si="7"/>
        <v>22575</v>
      </c>
    </row>
    <row r="517" spans="1:8" x14ac:dyDescent="0.2">
      <c r="A517" s="293" t="s">
        <v>360</v>
      </c>
      <c r="B517" s="488">
        <v>21</v>
      </c>
      <c r="C517" s="488">
        <v>21</v>
      </c>
      <c r="D517" s="294" t="s">
        <v>763</v>
      </c>
      <c r="E517" s="295">
        <v>14605</v>
      </c>
      <c r="F517" s="296">
        <v>13172</v>
      </c>
      <c r="G517" s="297">
        <v>55000</v>
      </c>
      <c r="H517" s="298">
        <f t="shared" si="7"/>
        <v>57750</v>
      </c>
    </row>
    <row r="518" spans="1:8" x14ac:dyDescent="0.2">
      <c r="A518" s="293" t="s">
        <v>764</v>
      </c>
      <c r="B518" s="488">
        <v>74</v>
      </c>
      <c r="C518" s="488">
        <v>74</v>
      </c>
      <c r="D518" s="294" t="s">
        <v>365</v>
      </c>
      <c r="E518" s="295">
        <v>14604</v>
      </c>
      <c r="F518" s="296">
        <v>5048</v>
      </c>
      <c r="G518" s="297">
        <v>70000</v>
      </c>
      <c r="H518" s="298">
        <f t="shared" si="7"/>
        <v>73500</v>
      </c>
    </row>
    <row r="519" spans="1:8" x14ac:dyDescent="0.2">
      <c r="A519" s="293" t="s">
        <v>765</v>
      </c>
      <c r="B519" s="488">
        <v>100</v>
      </c>
      <c r="C519" s="488">
        <v>104</v>
      </c>
      <c r="D519" s="294" t="s">
        <v>341</v>
      </c>
      <c r="E519" s="295">
        <v>14607</v>
      </c>
      <c r="F519" s="296">
        <v>9930</v>
      </c>
      <c r="G519" s="297">
        <v>116600</v>
      </c>
      <c r="H519" s="298">
        <f t="shared" ref="H519:H582" si="8">G519*1.05</f>
        <v>122430</v>
      </c>
    </row>
    <row r="520" spans="1:8" x14ac:dyDescent="0.2">
      <c r="A520" s="293" t="s">
        <v>766</v>
      </c>
      <c r="B520" s="488">
        <v>23</v>
      </c>
      <c r="C520" s="488">
        <v>25</v>
      </c>
      <c r="D520" s="294" t="s">
        <v>339</v>
      </c>
      <c r="E520" s="295">
        <v>14607</v>
      </c>
      <c r="F520" s="296">
        <v>5043</v>
      </c>
      <c r="G520" s="297">
        <v>140000</v>
      </c>
      <c r="H520" s="298">
        <f t="shared" si="8"/>
        <v>147000</v>
      </c>
    </row>
    <row r="521" spans="1:8" x14ac:dyDescent="0.2">
      <c r="A521" s="293" t="s">
        <v>554</v>
      </c>
      <c r="B521" s="488">
        <v>48</v>
      </c>
      <c r="C521" s="488">
        <v>48</v>
      </c>
      <c r="D521" s="294" t="s">
        <v>455</v>
      </c>
      <c r="E521" s="295">
        <v>14607</v>
      </c>
      <c r="F521" s="296">
        <v>3227</v>
      </c>
      <c r="G521" s="297">
        <v>20500</v>
      </c>
      <c r="H521" s="298">
        <f t="shared" si="8"/>
        <v>21525</v>
      </c>
    </row>
    <row r="522" spans="1:8" x14ac:dyDescent="0.2">
      <c r="A522" s="293" t="s">
        <v>695</v>
      </c>
      <c r="B522" s="488">
        <v>69</v>
      </c>
      <c r="C522" s="488">
        <v>69</v>
      </c>
      <c r="D522" s="294" t="s">
        <v>348</v>
      </c>
      <c r="E522" s="295">
        <v>14607</v>
      </c>
      <c r="F522" s="296">
        <v>7587</v>
      </c>
      <c r="G522" s="297">
        <v>171000</v>
      </c>
      <c r="H522" s="298">
        <f t="shared" si="8"/>
        <v>179550</v>
      </c>
    </row>
    <row r="523" spans="1:8" x14ac:dyDescent="0.2">
      <c r="A523" s="293" t="s">
        <v>743</v>
      </c>
      <c r="B523" s="488">
        <v>105</v>
      </c>
      <c r="C523" s="488">
        <v>105</v>
      </c>
      <c r="D523" s="294" t="s">
        <v>348</v>
      </c>
      <c r="E523" s="295">
        <v>14607</v>
      </c>
      <c r="F523" s="296">
        <v>11662</v>
      </c>
      <c r="G523" s="297">
        <v>145000</v>
      </c>
      <c r="H523" s="298">
        <f t="shared" si="8"/>
        <v>152250</v>
      </c>
    </row>
    <row r="524" spans="1:8" x14ac:dyDescent="0.2">
      <c r="A524" s="293" t="s">
        <v>767</v>
      </c>
      <c r="B524" s="488">
        <v>266</v>
      </c>
      <c r="C524" s="488">
        <v>272</v>
      </c>
      <c r="D524" s="294" t="s">
        <v>381</v>
      </c>
      <c r="E524" s="295">
        <v>14605</v>
      </c>
      <c r="F524" s="296">
        <v>13065</v>
      </c>
      <c r="G524" s="297">
        <v>40000</v>
      </c>
      <c r="H524" s="298">
        <f t="shared" si="8"/>
        <v>42000</v>
      </c>
    </row>
    <row r="525" spans="1:8" x14ac:dyDescent="0.2">
      <c r="A525" s="293" t="s">
        <v>423</v>
      </c>
      <c r="B525" s="488">
        <v>24</v>
      </c>
      <c r="C525" s="488">
        <v>24</v>
      </c>
      <c r="D525" s="294" t="s">
        <v>455</v>
      </c>
      <c r="E525" s="295">
        <v>14607</v>
      </c>
      <c r="F525" s="296">
        <v>3027</v>
      </c>
      <c r="G525" s="297">
        <v>100000</v>
      </c>
      <c r="H525" s="298">
        <f t="shared" si="8"/>
        <v>105000</v>
      </c>
    </row>
    <row r="526" spans="1:8" x14ac:dyDescent="0.2">
      <c r="A526" s="293" t="s">
        <v>768</v>
      </c>
      <c r="B526" s="488">
        <v>328</v>
      </c>
      <c r="C526" s="488">
        <v>328</v>
      </c>
      <c r="D526" s="294" t="s">
        <v>332</v>
      </c>
      <c r="E526" s="295">
        <v>14607</v>
      </c>
      <c r="F526" s="296">
        <v>4950</v>
      </c>
      <c r="G526" s="297">
        <v>136100</v>
      </c>
      <c r="H526" s="298">
        <f t="shared" si="8"/>
        <v>142905</v>
      </c>
    </row>
    <row r="527" spans="1:8" x14ac:dyDescent="0.2">
      <c r="A527" s="293" t="s">
        <v>769</v>
      </c>
      <c r="B527" s="488">
        <v>342</v>
      </c>
      <c r="C527" s="488">
        <v>342</v>
      </c>
      <c r="D527" s="294" t="s">
        <v>332</v>
      </c>
      <c r="E527" s="295">
        <v>14607</v>
      </c>
      <c r="F527" s="296">
        <v>4950</v>
      </c>
      <c r="G527" s="297">
        <v>17000</v>
      </c>
      <c r="H527" s="298">
        <f t="shared" si="8"/>
        <v>17850</v>
      </c>
    </row>
    <row r="528" spans="1:8" x14ac:dyDescent="0.2">
      <c r="A528" s="293" t="s">
        <v>664</v>
      </c>
      <c r="B528" s="488">
        <v>28</v>
      </c>
      <c r="C528" s="488">
        <v>30</v>
      </c>
      <c r="D528" s="294" t="s">
        <v>377</v>
      </c>
      <c r="E528" s="295">
        <v>14607</v>
      </c>
      <c r="F528" s="296">
        <v>3747</v>
      </c>
      <c r="G528" s="297">
        <v>11500</v>
      </c>
      <c r="H528" s="298">
        <f t="shared" si="8"/>
        <v>12075</v>
      </c>
    </row>
    <row r="529" spans="1:8" x14ac:dyDescent="0.2">
      <c r="A529" s="293" t="s">
        <v>757</v>
      </c>
      <c r="B529" s="488">
        <v>93</v>
      </c>
      <c r="C529" s="488">
        <v>93</v>
      </c>
      <c r="D529" s="294" t="s">
        <v>339</v>
      </c>
      <c r="E529" s="295">
        <v>14607</v>
      </c>
      <c r="F529" s="296">
        <v>0</v>
      </c>
      <c r="G529" s="297">
        <v>180000</v>
      </c>
      <c r="H529" s="298">
        <f t="shared" si="8"/>
        <v>189000</v>
      </c>
    </row>
    <row r="530" spans="1:8" x14ac:dyDescent="0.2">
      <c r="A530" s="293" t="s">
        <v>770</v>
      </c>
      <c r="B530" s="488">
        <v>157</v>
      </c>
      <c r="C530" s="488">
        <v>157</v>
      </c>
      <c r="D530" s="294" t="s">
        <v>368</v>
      </c>
      <c r="E530" s="295">
        <v>14607</v>
      </c>
      <c r="F530" s="296">
        <v>4000</v>
      </c>
      <c r="G530" s="297">
        <v>130000</v>
      </c>
      <c r="H530" s="298">
        <f t="shared" si="8"/>
        <v>136500</v>
      </c>
    </row>
    <row r="531" spans="1:8" x14ac:dyDescent="0.2">
      <c r="A531" s="293" t="s">
        <v>771</v>
      </c>
      <c r="B531" s="488">
        <v>79</v>
      </c>
      <c r="C531" s="488">
        <v>79</v>
      </c>
      <c r="D531" s="294" t="s">
        <v>450</v>
      </c>
      <c r="E531" s="295">
        <v>14607</v>
      </c>
      <c r="F531" s="296">
        <v>4906</v>
      </c>
      <c r="G531" s="297">
        <v>150000</v>
      </c>
      <c r="H531" s="298">
        <f t="shared" si="8"/>
        <v>157500</v>
      </c>
    </row>
    <row r="532" spans="1:8" x14ac:dyDescent="0.2">
      <c r="A532" s="293" t="s">
        <v>580</v>
      </c>
      <c r="B532" s="488">
        <v>40</v>
      </c>
      <c r="C532" s="488">
        <v>40</v>
      </c>
      <c r="D532" s="294" t="s">
        <v>337</v>
      </c>
      <c r="E532" s="295">
        <v>14607</v>
      </c>
      <c r="F532" s="296">
        <v>26394</v>
      </c>
      <c r="G532" s="297">
        <v>130000</v>
      </c>
      <c r="H532" s="298">
        <f t="shared" si="8"/>
        <v>136500</v>
      </c>
    </row>
    <row r="533" spans="1:8" x14ac:dyDescent="0.2">
      <c r="A533" s="293" t="s">
        <v>772</v>
      </c>
      <c r="B533" s="488">
        <v>516</v>
      </c>
      <c r="C533" s="488">
        <v>522</v>
      </c>
      <c r="D533" s="294" t="s">
        <v>328</v>
      </c>
      <c r="E533" s="295">
        <v>14604</v>
      </c>
      <c r="F533" s="296">
        <v>1176</v>
      </c>
      <c r="G533" s="297">
        <v>90000</v>
      </c>
      <c r="H533" s="298">
        <f t="shared" si="8"/>
        <v>94500</v>
      </c>
    </row>
    <row r="534" spans="1:8" x14ac:dyDescent="0.2">
      <c r="A534" s="293" t="s">
        <v>773</v>
      </c>
      <c r="B534" s="488">
        <v>94</v>
      </c>
      <c r="C534" s="488">
        <v>104</v>
      </c>
      <c r="D534" s="294" t="s">
        <v>365</v>
      </c>
      <c r="E534" s="295">
        <v>14604</v>
      </c>
      <c r="F534" s="296">
        <v>5418</v>
      </c>
      <c r="G534" s="297">
        <v>243500</v>
      </c>
      <c r="H534" s="298">
        <f t="shared" si="8"/>
        <v>255675</v>
      </c>
    </row>
    <row r="535" spans="1:8" x14ac:dyDescent="0.2">
      <c r="A535" s="293" t="s">
        <v>774</v>
      </c>
      <c r="B535" s="488">
        <v>349</v>
      </c>
      <c r="C535" s="488">
        <v>349</v>
      </c>
      <c r="D535" s="294" t="s">
        <v>332</v>
      </c>
      <c r="E535" s="295">
        <v>14607</v>
      </c>
      <c r="F535" s="296">
        <v>3982</v>
      </c>
      <c r="G535" s="297">
        <v>144000</v>
      </c>
      <c r="H535" s="298">
        <f t="shared" si="8"/>
        <v>151200</v>
      </c>
    </row>
    <row r="536" spans="1:8" x14ac:dyDescent="0.2">
      <c r="A536" s="293" t="s">
        <v>775</v>
      </c>
      <c r="B536" s="488">
        <v>194</v>
      </c>
      <c r="C536" s="488">
        <v>198</v>
      </c>
      <c r="D536" s="294" t="s">
        <v>377</v>
      </c>
      <c r="E536" s="295">
        <v>14607</v>
      </c>
      <c r="F536" s="296">
        <v>3854</v>
      </c>
      <c r="G536" s="297">
        <v>183000</v>
      </c>
      <c r="H536" s="298">
        <f t="shared" si="8"/>
        <v>192150</v>
      </c>
    </row>
    <row r="537" spans="1:8" x14ac:dyDescent="0.2">
      <c r="A537" s="293" t="s">
        <v>442</v>
      </c>
      <c r="B537" s="488">
        <v>26</v>
      </c>
      <c r="C537" s="488">
        <v>26</v>
      </c>
      <c r="D537" s="294" t="s">
        <v>415</v>
      </c>
      <c r="E537" s="295">
        <v>14607</v>
      </c>
      <c r="F537" s="296">
        <v>50965</v>
      </c>
      <c r="G537" s="297">
        <v>1440000</v>
      </c>
      <c r="H537" s="298">
        <f t="shared" si="8"/>
        <v>1512000</v>
      </c>
    </row>
    <row r="538" spans="1:8" x14ac:dyDescent="0.2">
      <c r="A538" s="293" t="s">
        <v>776</v>
      </c>
      <c r="B538" s="488">
        <v>50</v>
      </c>
      <c r="C538" s="488">
        <v>50</v>
      </c>
      <c r="D538" s="294" t="s">
        <v>415</v>
      </c>
      <c r="E538" s="295">
        <v>14607</v>
      </c>
      <c r="F538" s="296">
        <v>1326</v>
      </c>
      <c r="G538" s="297">
        <v>1000</v>
      </c>
      <c r="H538" s="298">
        <f t="shared" si="8"/>
        <v>1050</v>
      </c>
    </row>
    <row r="539" spans="1:8" x14ac:dyDescent="0.2">
      <c r="A539" s="293" t="s">
        <v>423</v>
      </c>
      <c r="B539" s="488">
        <v>24</v>
      </c>
      <c r="C539" s="488">
        <v>24</v>
      </c>
      <c r="D539" s="294" t="s">
        <v>443</v>
      </c>
      <c r="E539" s="295">
        <v>14607</v>
      </c>
      <c r="F539" s="296">
        <v>3468</v>
      </c>
      <c r="G539" s="297">
        <v>125000</v>
      </c>
      <c r="H539" s="298">
        <f t="shared" si="8"/>
        <v>131250</v>
      </c>
    </row>
    <row r="540" spans="1:8" x14ac:dyDescent="0.2">
      <c r="A540" s="293" t="s">
        <v>777</v>
      </c>
      <c r="B540" s="488">
        <v>67</v>
      </c>
      <c r="C540" s="488">
        <v>67</v>
      </c>
      <c r="D540" s="294" t="s">
        <v>455</v>
      </c>
      <c r="E540" s="295">
        <v>14607</v>
      </c>
      <c r="F540" s="296">
        <v>2596</v>
      </c>
      <c r="G540" s="297">
        <v>147000</v>
      </c>
      <c r="H540" s="298">
        <f t="shared" si="8"/>
        <v>154350</v>
      </c>
    </row>
    <row r="541" spans="1:8" x14ac:dyDescent="0.2">
      <c r="A541" s="293" t="s">
        <v>778</v>
      </c>
      <c r="B541" s="488">
        <v>357</v>
      </c>
      <c r="C541" s="488">
        <v>357</v>
      </c>
      <c r="D541" s="294" t="s">
        <v>330</v>
      </c>
      <c r="E541" s="295">
        <v>14607</v>
      </c>
      <c r="F541" s="296">
        <v>5949</v>
      </c>
      <c r="G541" s="297">
        <v>558000</v>
      </c>
      <c r="H541" s="298">
        <f t="shared" si="8"/>
        <v>585900</v>
      </c>
    </row>
    <row r="542" spans="1:8" x14ac:dyDescent="0.2">
      <c r="A542" s="293" t="s">
        <v>779</v>
      </c>
      <c r="B542" s="488">
        <v>20</v>
      </c>
      <c r="C542" s="488">
        <v>24</v>
      </c>
      <c r="D542" s="294" t="s">
        <v>365</v>
      </c>
      <c r="E542" s="295">
        <v>14604</v>
      </c>
      <c r="F542" s="296">
        <v>8041</v>
      </c>
      <c r="G542" s="297">
        <v>95000</v>
      </c>
      <c r="H542" s="298">
        <f t="shared" si="8"/>
        <v>99750</v>
      </c>
    </row>
    <row r="543" spans="1:8" x14ac:dyDescent="0.2">
      <c r="A543" s="293" t="s">
        <v>780</v>
      </c>
      <c r="B543" s="488">
        <v>273</v>
      </c>
      <c r="C543" s="488">
        <v>273</v>
      </c>
      <c r="D543" s="294" t="s">
        <v>348</v>
      </c>
      <c r="E543" s="295">
        <v>14607</v>
      </c>
      <c r="F543" s="296">
        <v>8250</v>
      </c>
      <c r="G543" s="297">
        <v>175500</v>
      </c>
      <c r="H543" s="298">
        <f t="shared" si="8"/>
        <v>184275</v>
      </c>
    </row>
    <row r="544" spans="1:8" x14ac:dyDescent="0.2">
      <c r="A544" s="293" t="s">
        <v>781</v>
      </c>
      <c r="B544" s="488">
        <v>274</v>
      </c>
      <c r="C544" s="488">
        <v>274</v>
      </c>
      <c r="D544" s="294" t="s">
        <v>330</v>
      </c>
      <c r="E544" s="295">
        <v>14607</v>
      </c>
      <c r="F544" s="296">
        <v>34404</v>
      </c>
      <c r="G544" s="297">
        <v>390000</v>
      </c>
      <c r="H544" s="298">
        <f t="shared" si="8"/>
        <v>409500</v>
      </c>
    </row>
    <row r="545" spans="1:8" x14ac:dyDescent="0.2">
      <c r="A545" s="293" t="s">
        <v>782</v>
      </c>
      <c r="B545" s="488">
        <v>26</v>
      </c>
      <c r="C545" s="488">
        <v>28</v>
      </c>
      <c r="D545" s="294" t="s">
        <v>464</v>
      </c>
      <c r="E545" s="295">
        <v>14607</v>
      </c>
      <c r="F545" s="296">
        <v>2174</v>
      </c>
      <c r="G545" s="297">
        <v>104200</v>
      </c>
      <c r="H545" s="298">
        <f t="shared" si="8"/>
        <v>109410</v>
      </c>
    </row>
    <row r="546" spans="1:8" x14ac:dyDescent="0.2">
      <c r="A546" s="293" t="s">
        <v>783</v>
      </c>
      <c r="B546" s="488">
        <v>220</v>
      </c>
      <c r="C546" s="488">
        <v>224</v>
      </c>
      <c r="D546" s="294" t="s">
        <v>381</v>
      </c>
      <c r="E546" s="295">
        <v>14605</v>
      </c>
      <c r="F546" s="296">
        <v>6175</v>
      </c>
      <c r="G546" s="297">
        <v>38000</v>
      </c>
      <c r="H546" s="298">
        <f t="shared" si="8"/>
        <v>39900</v>
      </c>
    </row>
    <row r="547" spans="1:8" x14ac:dyDescent="0.2">
      <c r="A547" s="293" t="s">
        <v>392</v>
      </c>
      <c r="B547" s="488">
        <v>63</v>
      </c>
      <c r="C547" s="488">
        <v>63</v>
      </c>
      <c r="D547" s="294" t="s">
        <v>339</v>
      </c>
      <c r="E547" s="295">
        <v>14607</v>
      </c>
      <c r="F547" s="296">
        <v>3472</v>
      </c>
      <c r="G547" s="297">
        <v>129000</v>
      </c>
      <c r="H547" s="298">
        <f t="shared" si="8"/>
        <v>135450</v>
      </c>
    </row>
    <row r="548" spans="1:8" x14ac:dyDescent="0.2">
      <c r="A548" s="293" t="s">
        <v>512</v>
      </c>
      <c r="B548" s="488">
        <v>13</v>
      </c>
      <c r="C548" s="488">
        <v>13</v>
      </c>
      <c r="D548" s="294" t="s">
        <v>452</v>
      </c>
      <c r="E548" s="295">
        <v>14607</v>
      </c>
      <c r="F548" s="296">
        <v>8549</v>
      </c>
      <c r="G548" s="297">
        <v>142000</v>
      </c>
      <c r="H548" s="298">
        <f t="shared" si="8"/>
        <v>149100</v>
      </c>
    </row>
    <row r="549" spans="1:8" x14ac:dyDescent="0.2">
      <c r="A549" s="293" t="s">
        <v>562</v>
      </c>
      <c r="B549" s="488">
        <v>143</v>
      </c>
      <c r="C549" s="488">
        <v>143</v>
      </c>
      <c r="D549" s="294" t="s">
        <v>341</v>
      </c>
      <c r="E549" s="295">
        <v>14605</v>
      </c>
      <c r="F549" s="296">
        <v>6357</v>
      </c>
      <c r="G549" s="297">
        <v>3100</v>
      </c>
      <c r="H549" s="298">
        <f t="shared" si="8"/>
        <v>3255</v>
      </c>
    </row>
    <row r="550" spans="1:8" x14ac:dyDescent="0.2">
      <c r="A550" s="293" t="s">
        <v>784</v>
      </c>
      <c r="B550" s="488">
        <v>350</v>
      </c>
      <c r="C550" s="294" t="s">
        <v>785</v>
      </c>
      <c r="D550" s="294" t="s">
        <v>332</v>
      </c>
      <c r="E550" s="295">
        <v>14607</v>
      </c>
      <c r="F550" s="296">
        <v>1100</v>
      </c>
      <c r="G550" s="297">
        <v>108900</v>
      </c>
      <c r="H550" s="298">
        <f t="shared" si="8"/>
        <v>114345</v>
      </c>
    </row>
    <row r="551" spans="1:8" x14ac:dyDescent="0.2">
      <c r="A551" s="293" t="s">
        <v>786</v>
      </c>
      <c r="B551" s="488">
        <v>355</v>
      </c>
      <c r="C551" s="488">
        <v>357</v>
      </c>
      <c r="D551" s="294" t="s">
        <v>415</v>
      </c>
      <c r="E551" s="295">
        <v>14607</v>
      </c>
      <c r="F551" s="296">
        <v>3530</v>
      </c>
      <c r="G551" s="297">
        <v>116000</v>
      </c>
      <c r="H551" s="298">
        <f t="shared" si="8"/>
        <v>121800</v>
      </c>
    </row>
    <row r="552" spans="1:8" x14ac:dyDescent="0.2">
      <c r="A552" s="293" t="s">
        <v>780</v>
      </c>
      <c r="B552" s="488">
        <v>273</v>
      </c>
      <c r="C552" s="488">
        <v>273</v>
      </c>
      <c r="D552" s="294" t="s">
        <v>330</v>
      </c>
      <c r="E552" s="295">
        <v>14607</v>
      </c>
      <c r="F552" s="296">
        <v>6271</v>
      </c>
      <c r="G552" s="297">
        <v>155000</v>
      </c>
      <c r="H552" s="298">
        <f t="shared" si="8"/>
        <v>162750</v>
      </c>
    </row>
    <row r="553" spans="1:8" x14ac:dyDescent="0.2">
      <c r="A553" s="293" t="s">
        <v>787</v>
      </c>
      <c r="B553" s="488">
        <v>15</v>
      </c>
      <c r="C553" s="488">
        <v>17</v>
      </c>
      <c r="D553" s="294" t="s">
        <v>729</v>
      </c>
      <c r="E553" s="295">
        <v>14607</v>
      </c>
      <c r="F553" s="296">
        <v>10309</v>
      </c>
      <c r="G553" s="297">
        <v>247200</v>
      </c>
      <c r="H553" s="298">
        <f t="shared" si="8"/>
        <v>259560</v>
      </c>
    </row>
    <row r="554" spans="1:8" x14ac:dyDescent="0.2">
      <c r="A554" s="293" t="s">
        <v>777</v>
      </c>
      <c r="B554" s="488">
        <v>67</v>
      </c>
      <c r="C554" s="488">
        <v>67</v>
      </c>
      <c r="D554" s="294" t="s">
        <v>337</v>
      </c>
      <c r="E554" s="295">
        <v>14607</v>
      </c>
      <c r="F554" s="296">
        <v>4418</v>
      </c>
      <c r="G554" s="297">
        <v>148000</v>
      </c>
      <c r="H554" s="298">
        <f t="shared" si="8"/>
        <v>155400</v>
      </c>
    </row>
    <row r="555" spans="1:8" x14ac:dyDescent="0.2">
      <c r="A555" s="293" t="s">
        <v>726</v>
      </c>
      <c r="B555" s="488">
        <v>360</v>
      </c>
      <c r="C555" s="488">
        <v>360</v>
      </c>
      <c r="D555" s="294" t="s">
        <v>330</v>
      </c>
      <c r="E555" s="295">
        <v>14607</v>
      </c>
      <c r="F555" s="296">
        <v>35908</v>
      </c>
      <c r="G555" s="297">
        <v>195000</v>
      </c>
      <c r="H555" s="298">
        <f t="shared" si="8"/>
        <v>204750</v>
      </c>
    </row>
    <row r="556" spans="1:8" x14ac:dyDescent="0.2">
      <c r="A556" s="293" t="s">
        <v>788</v>
      </c>
      <c r="B556" s="488">
        <v>207</v>
      </c>
      <c r="C556" s="488">
        <v>209</v>
      </c>
      <c r="D556" s="294" t="s">
        <v>352</v>
      </c>
      <c r="E556" s="295">
        <v>14607</v>
      </c>
      <c r="F556" s="296">
        <v>2441</v>
      </c>
      <c r="G556" s="297">
        <v>94300</v>
      </c>
      <c r="H556" s="298">
        <f t="shared" si="8"/>
        <v>99015</v>
      </c>
    </row>
    <row r="557" spans="1:8" x14ac:dyDescent="0.2">
      <c r="A557" s="293" t="s">
        <v>656</v>
      </c>
      <c r="B557" s="488">
        <v>28</v>
      </c>
      <c r="C557" s="488">
        <v>28</v>
      </c>
      <c r="D557" s="294" t="s">
        <v>455</v>
      </c>
      <c r="E557" s="295">
        <v>14607</v>
      </c>
      <c r="F557" s="296">
        <v>2974</v>
      </c>
      <c r="G557" s="297">
        <v>9000</v>
      </c>
      <c r="H557" s="298">
        <f t="shared" si="8"/>
        <v>9450</v>
      </c>
    </row>
    <row r="558" spans="1:8" x14ac:dyDescent="0.2">
      <c r="A558" s="293" t="s">
        <v>789</v>
      </c>
      <c r="B558" s="488">
        <v>163</v>
      </c>
      <c r="C558" s="488">
        <v>163</v>
      </c>
      <c r="D558" s="294" t="s">
        <v>341</v>
      </c>
      <c r="E558" s="295">
        <v>14605</v>
      </c>
      <c r="F558" s="296">
        <v>3552</v>
      </c>
      <c r="G558" s="297">
        <v>128000</v>
      </c>
      <c r="H558" s="298">
        <f t="shared" si="8"/>
        <v>134400</v>
      </c>
    </row>
    <row r="559" spans="1:8" x14ac:dyDescent="0.2">
      <c r="A559" s="293" t="s">
        <v>790</v>
      </c>
      <c r="B559" s="488">
        <v>270</v>
      </c>
      <c r="C559" s="488">
        <v>270.5</v>
      </c>
      <c r="D559" s="294" t="s">
        <v>330</v>
      </c>
      <c r="E559" s="295">
        <v>14607</v>
      </c>
      <c r="F559" s="296">
        <v>20023</v>
      </c>
      <c r="G559" s="297">
        <v>225000</v>
      </c>
      <c r="H559" s="298">
        <f t="shared" si="8"/>
        <v>236250</v>
      </c>
    </row>
    <row r="560" spans="1:8" x14ac:dyDescent="0.2">
      <c r="A560" s="293" t="s">
        <v>791</v>
      </c>
      <c r="B560" s="488">
        <v>384</v>
      </c>
      <c r="C560" s="488">
        <v>384</v>
      </c>
      <c r="D560" s="294" t="s">
        <v>420</v>
      </c>
      <c r="E560" s="295">
        <v>14607</v>
      </c>
      <c r="F560" s="296">
        <v>102046</v>
      </c>
      <c r="G560" s="297">
        <v>1400000</v>
      </c>
      <c r="H560" s="298">
        <f t="shared" si="8"/>
        <v>1470000</v>
      </c>
    </row>
    <row r="561" spans="1:8" x14ac:dyDescent="0.2">
      <c r="A561" s="293" t="s">
        <v>621</v>
      </c>
      <c r="B561" s="488">
        <v>3</v>
      </c>
      <c r="C561" s="488">
        <v>3</v>
      </c>
      <c r="D561" s="294" t="s">
        <v>407</v>
      </c>
      <c r="E561" s="295">
        <v>14605</v>
      </c>
      <c r="F561" s="296">
        <v>3510</v>
      </c>
      <c r="G561" s="297">
        <v>419000</v>
      </c>
      <c r="H561" s="298">
        <f t="shared" si="8"/>
        <v>439950</v>
      </c>
    </row>
    <row r="562" spans="1:8" x14ac:dyDescent="0.2">
      <c r="A562" s="293" t="s">
        <v>792</v>
      </c>
      <c r="B562" s="488">
        <v>14</v>
      </c>
      <c r="C562" s="488">
        <v>16</v>
      </c>
      <c r="D562" s="294" t="s">
        <v>377</v>
      </c>
      <c r="E562" s="295">
        <v>14607</v>
      </c>
      <c r="F562" s="296">
        <v>12344</v>
      </c>
      <c r="G562" s="297">
        <v>74000</v>
      </c>
      <c r="H562" s="298">
        <f t="shared" si="8"/>
        <v>77700</v>
      </c>
    </row>
    <row r="563" spans="1:8" x14ac:dyDescent="0.2">
      <c r="A563" s="293" t="s">
        <v>559</v>
      </c>
      <c r="B563" s="488">
        <v>89</v>
      </c>
      <c r="C563" s="488">
        <v>89</v>
      </c>
      <c r="D563" s="294" t="s">
        <v>361</v>
      </c>
      <c r="E563" s="295">
        <v>14607</v>
      </c>
      <c r="F563" s="296">
        <v>3946</v>
      </c>
      <c r="G563" s="297">
        <v>49600</v>
      </c>
      <c r="H563" s="298">
        <f t="shared" si="8"/>
        <v>52080</v>
      </c>
    </row>
    <row r="564" spans="1:8" x14ac:dyDescent="0.2">
      <c r="A564" s="293" t="s">
        <v>771</v>
      </c>
      <c r="B564" s="488">
        <v>79</v>
      </c>
      <c r="C564" s="488">
        <v>79</v>
      </c>
      <c r="D564" s="294" t="s">
        <v>361</v>
      </c>
      <c r="E564" s="295">
        <v>14607</v>
      </c>
      <c r="F564" s="296">
        <v>3850</v>
      </c>
      <c r="G564" s="297">
        <v>95000</v>
      </c>
      <c r="H564" s="298">
        <f t="shared" si="8"/>
        <v>99750</v>
      </c>
    </row>
    <row r="565" spans="1:8" x14ac:dyDescent="0.2">
      <c r="A565" s="293" t="s">
        <v>793</v>
      </c>
      <c r="B565" s="488">
        <v>397</v>
      </c>
      <c r="C565" s="294" t="s">
        <v>794</v>
      </c>
      <c r="D565" s="294" t="s">
        <v>330</v>
      </c>
      <c r="E565" s="295">
        <v>14607</v>
      </c>
      <c r="F565" s="296">
        <v>1173</v>
      </c>
      <c r="G565" s="297">
        <v>102000</v>
      </c>
      <c r="H565" s="298">
        <f t="shared" si="8"/>
        <v>107100</v>
      </c>
    </row>
    <row r="566" spans="1:8" x14ac:dyDescent="0.2">
      <c r="A566" s="293" t="s">
        <v>444</v>
      </c>
      <c r="B566" s="488">
        <v>31</v>
      </c>
      <c r="C566" s="488">
        <v>31</v>
      </c>
      <c r="D566" s="294" t="s">
        <v>334</v>
      </c>
      <c r="E566" s="295">
        <v>14607</v>
      </c>
      <c r="F566" s="296">
        <v>60548</v>
      </c>
      <c r="G566" s="297">
        <v>815400</v>
      </c>
      <c r="H566" s="298">
        <f t="shared" si="8"/>
        <v>856170</v>
      </c>
    </row>
    <row r="567" spans="1:8" x14ac:dyDescent="0.2">
      <c r="A567" s="293" t="s">
        <v>795</v>
      </c>
      <c r="B567" s="488">
        <v>385</v>
      </c>
      <c r="C567" s="488">
        <v>385</v>
      </c>
      <c r="D567" s="294" t="s">
        <v>415</v>
      </c>
      <c r="E567" s="295">
        <v>14607</v>
      </c>
      <c r="F567" s="296">
        <v>1667</v>
      </c>
      <c r="G567" s="297">
        <v>99000</v>
      </c>
      <c r="H567" s="298">
        <f t="shared" si="8"/>
        <v>103950</v>
      </c>
    </row>
    <row r="568" spans="1:8" x14ac:dyDescent="0.2">
      <c r="A568" s="293" t="s">
        <v>796</v>
      </c>
      <c r="B568" s="488">
        <v>336</v>
      </c>
      <c r="C568" s="488">
        <v>340</v>
      </c>
      <c r="D568" s="294" t="s">
        <v>420</v>
      </c>
      <c r="E568" s="295">
        <v>14604</v>
      </c>
      <c r="F568" s="296">
        <v>9009</v>
      </c>
      <c r="G568" s="297">
        <v>785000</v>
      </c>
      <c r="H568" s="298">
        <f t="shared" si="8"/>
        <v>824250</v>
      </c>
    </row>
    <row r="569" spans="1:8" x14ac:dyDescent="0.2">
      <c r="A569" s="293" t="s">
        <v>566</v>
      </c>
      <c r="B569" s="488">
        <v>141</v>
      </c>
      <c r="C569" s="488">
        <v>141</v>
      </c>
      <c r="D569" s="294" t="s">
        <v>348</v>
      </c>
      <c r="E569" s="295">
        <v>14607</v>
      </c>
      <c r="F569" s="296">
        <v>5142</v>
      </c>
      <c r="G569" s="297">
        <v>225000</v>
      </c>
      <c r="H569" s="298">
        <f t="shared" si="8"/>
        <v>236250</v>
      </c>
    </row>
    <row r="570" spans="1:8" x14ac:dyDescent="0.2">
      <c r="A570" s="293" t="s">
        <v>797</v>
      </c>
      <c r="B570" s="488">
        <v>114</v>
      </c>
      <c r="C570" s="488">
        <v>118</v>
      </c>
      <c r="D570" s="294" t="s">
        <v>354</v>
      </c>
      <c r="E570" s="295">
        <v>14607</v>
      </c>
      <c r="F570" s="296">
        <v>17489</v>
      </c>
      <c r="G570" s="297">
        <v>720600</v>
      </c>
      <c r="H570" s="298">
        <f t="shared" si="8"/>
        <v>756630</v>
      </c>
    </row>
    <row r="571" spans="1:8" x14ac:dyDescent="0.2">
      <c r="A571" s="293" t="s">
        <v>798</v>
      </c>
      <c r="B571" s="488">
        <v>196</v>
      </c>
      <c r="C571" s="488">
        <v>200</v>
      </c>
      <c r="D571" s="294" t="s">
        <v>352</v>
      </c>
      <c r="E571" s="295">
        <v>14607</v>
      </c>
      <c r="F571" s="296">
        <v>5400</v>
      </c>
      <c r="G571" s="297">
        <v>27000</v>
      </c>
      <c r="H571" s="298">
        <f t="shared" si="8"/>
        <v>28350</v>
      </c>
    </row>
    <row r="572" spans="1:8" x14ac:dyDescent="0.2">
      <c r="A572" s="293" t="s">
        <v>799</v>
      </c>
      <c r="B572" s="488">
        <v>17</v>
      </c>
      <c r="C572" s="488">
        <v>21</v>
      </c>
      <c r="D572" s="294" t="s">
        <v>464</v>
      </c>
      <c r="E572" s="295">
        <v>14607</v>
      </c>
      <c r="F572" s="296">
        <v>4346</v>
      </c>
      <c r="G572" s="297">
        <v>107000</v>
      </c>
      <c r="H572" s="298">
        <f t="shared" si="8"/>
        <v>112350</v>
      </c>
    </row>
    <row r="573" spans="1:8" x14ac:dyDescent="0.2">
      <c r="A573" s="299" t="s">
        <v>800</v>
      </c>
      <c r="B573" s="489">
        <v>55</v>
      </c>
      <c r="C573" s="489">
        <v>59</v>
      </c>
      <c r="D573" s="300" t="s">
        <v>455</v>
      </c>
      <c r="E573" s="301">
        <v>14607</v>
      </c>
      <c r="F573" s="302">
        <v>6036</v>
      </c>
      <c r="G573" s="303">
        <v>24000</v>
      </c>
      <c r="H573" s="304">
        <f t="shared" si="8"/>
        <v>25200</v>
      </c>
    </row>
    <row r="574" spans="1:8" x14ac:dyDescent="0.2">
      <c r="A574" s="293" t="s">
        <v>801</v>
      </c>
      <c r="B574" s="488">
        <v>8</v>
      </c>
      <c r="C574" s="488">
        <v>5</v>
      </c>
      <c r="D574" s="294" t="s">
        <v>460</v>
      </c>
      <c r="E574" s="295">
        <v>14607</v>
      </c>
      <c r="F574" s="296">
        <v>3019</v>
      </c>
      <c r="G574" s="297">
        <v>146700</v>
      </c>
      <c r="H574" s="298">
        <f t="shared" si="8"/>
        <v>154035</v>
      </c>
    </row>
    <row r="575" spans="1:8" x14ac:dyDescent="0.2">
      <c r="A575" s="293" t="s">
        <v>802</v>
      </c>
      <c r="B575" s="488">
        <v>371</v>
      </c>
      <c r="C575" s="488">
        <v>371</v>
      </c>
      <c r="D575" s="294" t="s">
        <v>330</v>
      </c>
      <c r="E575" s="295">
        <v>14607</v>
      </c>
      <c r="F575" s="296">
        <v>2640</v>
      </c>
      <c r="G575" s="297">
        <v>112900</v>
      </c>
      <c r="H575" s="298">
        <f t="shared" si="8"/>
        <v>118545</v>
      </c>
    </row>
    <row r="576" spans="1:8" x14ac:dyDescent="0.2">
      <c r="A576" s="293" t="s">
        <v>652</v>
      </c>
      <c r="B576" s="488">
        <v>71</v>
      </c>
      <c r="C576" s="488">
        <v>73</v>
      </c>
      <c r="D576" s="294" t="s">
        <v>337</v>
      </c>
      <c r="E576" s="295">
        <v>14607</v>
      </c>
      <c r="F576" s="296">
        <v>6427</v>
      </c>
      <c r="G576" s="297">
        <v>247500</v>
      </c>
      <c r="H576" s="298">
        <f t="shared" si="8"/>
        <v>259875</v>
      </c>
    </row>
    <row r="577" spans="1:8" x14ac:dyDescent="0.2">
      <c r="A577" s="293" t="s">
        <v>558</v>
      </c>
      <c r="B577" s="488">
        <v>42</v>
      </c>
      <c r="C577" s="488">
        <v>42</v>
      </c>
      <c r="D577" s="294" t="s">
        <v>350</v>
      </c>
      <c r="E577" s="295">
        <v>14607</v>
      </c>
      <c r="F577" s="296">
        <v>3582</v>
      </c>
      <c r="G577" s="297">
        <v>133000</v>
      </c>
      <c r="H577" s="298">
        <f t="shared" si="8"/>
        <v>139650</v>
      </c>
    </row>
    <row r="578" spans="1:8" x14ac:dyDescent="0.2">
      <c r="A578" s="293" t="s">
        <v>803</v>
      </c>
      <c r="B578" s="488">
        <v>334</v>
      </c>
      <c r="C578" s="488">
        <v>334</v>
      </c>
      <c r="D578" s="294" t="s">
        <v>332</v>
      </c>
      <c r="E578" s="295">
        <v>14607</v>
      </c>
      <c r="F578" s="296">
        <v>4950</v>
      </c>
      <c r="G578" s="297">
        <v>88300</v>
      </c>
      <c r="H578" s="298">
        <f t="shared" si="8"/>
        <v>92715</v>
      </c>
    </row>
    <row r="579" spans="1:8" x14ac:dyDescent="0.2">
      <c r="A579" s="293" t="s">
        <v>804</v>
      </c>
      <c r="B579" s="488">
        <v>511</v>
      </c>
      <c r="C579" s="488">
        <v>511</v>
      </c>
      <c r="D579" s="294" t="s">
        <v>328</v>
      </c>
      <c r="E579" s="295">
        <v>14604</v>
      </c>
      <c r="F579" s="296">
        <v>6597</v>
      </c>
      <c r="G579" s="297">
        <v>141500</v>
      </c>
      <c r="H579" s="298">
        <f t="shared" si="8"/>
        <v>148575</v>
      </c>
    </row>
    <row r="580" spans="1:8" x14ac:dyDescent="0.2">
      <c r="A580" s="293" t="s">
        <v>805</v>
      </c>
      <c r="B580" s="488">
        <v>32</v>
      </c>
      <c r="C580" s="488">
        <v>34</v>
      </c>
      <c r="D580" s="294" t="s">
        <v>377</v>
      </c>
      <c r="E580" s="295">
        <v>14607</v>
      </c>
      <c r="F580" s="296">
        <v>3567</v>
      </c>
      <c r="G580" s="297">
        <v>11500</v>
      </c>
      <c r="H580" s="298">
        <f t="shared" si="8"/>
        <v>12075</v>
      </c>
    </row>
    <row r="581" spans="1:8" x14ac:dyDescent="0.2">
      <c r="A581" s="293" t="s">
        <v>485</v>
      </c>
      <c r="B581" s="488">
        <v>395</v>
      </c>
      <c r="C581" s="488">
        <v>395</v>
      </c>
      <c r="D581" s="294" t="s">
        <v>332</v>
      </c>
      <c r="E581" s="295">
        <v>14607</v>
      </c>
      <c r="F581" s="296">
        <v>5387</v>
      </c>
      <c r="G581" s="297">
        <v>185000</v>
      </c>
      <c r="H581" s="298">
        <f t="shared" si="8"/>
        <v>194250</v>
      </c>
    </row>
    <row r="582" spans="1:8" x14ac:dyDescent="0.2">
      <c r="A582" s="293" t="s">
        <v>806</v>
      </c>
      <c r="B582" s="488">
        <v>376</v>
      </c>
      <c r="C582" s="488">
        <v>376.5</v>
      </c>
      <c r="D582" s="294" t="s">
        <v>330</v>
      </c>
      <c r="E582" s="295">
        <v>14607</v>
      </c>
      <c r="F582" s="296">
        <v>4439</v>
      </c>
      <c r="G582" s="297">
        <v>94000</v>
      </c>
      <c r="H582" s="298">
        <f t="shared" si="8"/>
        <v>98700</v>
      </c>
    </row>
    <row r="583" spans="1:8" x14ac:dyDescent="0.2">
      <c r="A583" s="293" t="s">
        <v>807</v>
      </c>
      <c r="B583" s="488">
        <v>409</v>
      </c>
      <c r="C583" s="488">
        <v>409</v>
      </c>
      <c r="D583" s="294" t="s">
        <v>330</v>
      </c>
      <c r="E583" s="295">
        <v>14607</v>
      </c>
      <c r="F583" s="296">
        <v>6196</v>
      </c>
      <c r="G583" s="297">
        <v>36000</v>
      </c>
      <c r="H583" s="298">
        <f t="shared" ref="H583:H646" si="9">G583*1.05</f>
        <v>37800</v>
      </c>
    </row>
    <row r="584" spans="1:8" x14ac:dyDescent="0.2">
      <c r="A584" s="293" t="s">
        <v>808</v>
      </c>
      <c r="B584" s="488">
        <v>30</v>
      </c>
      <c r="C584" s="488">
        <v>54</v>
      </c>
      <c r="D584" s="294" t="s">
        <v>541</v>
      </c>
      <c r="E584" s="295">
        <v>14604</v>
      </c>
      <c r="F584" s="296">
        <v>21693</v>
      </c>
      <c r="G584" s="297">
        <v>3400000</v>
      </c>
      <c r="H584" s="298">
        <f t="shared" si="9"/>
        <v>3570000</v>
      </c>
    </row>
    <row r="585" spans="1:8" x14ac:dyDescent="0.2">
      <c r="A585" s="293" t="s">
        <v>559</v>
      </c>
      <c r="B585" s="488">
        <v>89</v>
      </c>
      <c r="C585" s="488">
        <v>89</v>
      </c>
      <c r="D585" s="294" t="s">
        <v>348</v>
      </c>
      <c r="E585" s="295">
        <v>14607</v>
      </c>
      <c r="F585" s="296">
        <v>5847</v>
      </c>
      <c r="G585" s="297">
        <v>230000</v>
      </c>
      <c r="H585" s="298">
        <f t="shared" si="9"/>
        <v>241500</v>
      </c>
    </row>
    <row r="586" spans="1:8" x14ac:dyDescent="0.2">
      <c r="A586" s="293" t="s">
        <v>809</v>
      </c>
      <c r="B586" s="488">
        <v>204</v>
      </c>
      <c r="C586" s="488">
        <v>208</v>
      </c>
      <c r="D586" s="294" t="s">
        <v>352</v>
      </c>
      <c r="E586" s="295">
        <v>14607</v>
      </c>
      <c r="F586" s="296">
        <v>4860</v>
      </c>
      <c r="G586" s="297">
        <v>24000</v>
      </c>
      <c r="H586" s="298">
        <f t="shared" si="9"/>
        <v>25200</v>
      </c>
    </row>
    <row r="587" spans="1:8" x14ac:dyDescent="0.2">
      <c r="A587" s="293" t="s">
        <v>810</v>
      </c>
      <c r="B587" s="488">
        <v>61</v>
      </c>
      <c r="C587" s="488">
        <v>61</v>
      </c>
      <c r="D587" s="294" t="s">
        <v>337</v>
      </c>
      <c r="E587" s="295">
        <v>14607</v>
      </c>
      <c r="F587" s="296">
        <v>6439</v>
      </c>
      <c r="G587" s="297">
        <v>250000</v>
      </c>
      <c r="H587" s="298">
        <f t="shared" si="9"/>
        <v>262500</v>
      </c>
    </row>
    <row r="588" spans="1:8" x14ac:dyDescent="0.2">
      <c r="A588" s="293" t="s">
        <v>811</v>
      </c>
      <c r="B588" s="488">
        <v>199</v>
      </c>
      <c r="C588" s="488">
        <v>201</v>
      </c>
      <c r="D588" s="294" t="s">
        <v>348</v>
      </c>
      <c r="E588" s="295">
        <v>14607</v>
      </c>
      <c r="F588" s="296">
        <v>8100</v>
      </c>
      <c r="G588" s="297">
        <v>170000</v>
      </c>
      <c r="H588" s="298">
        <f t="shared" si="9"/>
        <v>178500</v>
      </c>
    </row>
    <row r="589" spans="1:8" x14ac:dyDescent="0.2">
      <c r="A589" s="293" t="s">
        <v>726</v>
      </c>
      <c r="B589" s="488">
        <v>360</v>
      </c>
      <c r="C589" s="488">
        <v>360</v>
      </c>
      <c r="D589" s="294" t="s">
        <v>420</v>
      </c>
      <c r="E589" s="295">
        <v>14604</v>
      </c>
      <c r="F589" s="296">
        <v>13438</v>
      </c>
      <c r="G589" s="297">
        <v>772200</v>
      </c>
      <c r="H589" s="298">
        <f t="shared" si="9"/>
        <v>810810</v>
      </c>
    </row>
    <row r="590" spans="1:8" x14ac:dyDescent="0.2">
      <c r="A590" s="293" t="s">
        <v>489</v>
      </c>
      <c r="B590" s="488">
        <v>68</v>
      </c>
      <c r="C590" s="488">
        <v>68</v>
      </c>
      <c r="D590" s="294" t="s">
        <v>399</v>
      </c>
      <c r="E590" s="295">
        <v>14607</v>
      </c>
      <c r="F590" s="296">
        <v>7634</v>
      </c>
      <c r="G590" s="297">
        <v>171000</v>
      </c>
      <c r="H590" s="298">
        <f t="shared" si="9"/>
        <v>179550</v>
      </c>
    </row>
    <row r="591" spans="1:8" x14ac:dyDescent="0.2">
      <c r="A591" s="293" t="s">
        <v>812</v>
      </c>
      <c r="B591" s="488">
        <v>360</v>
      </c>
      <c r="C591" s="488">
        <v>362</v>
      </c>
      <c r="D591" s="294" t="s">
        <v>415</v>
      </c>
      <c r="E591" s="295">
        <v>14607</v>
      </c>
      <c r="F591" s="296">
        <v>2540</v>
      </c>
      <c r="G591" s="297">
        <v>124000</v>
      </c>
      <c r="H591" s="298">
        <f t="shared" si="9"/>
        <v>130200</v>
      </c>
    </row>
    <row r="592" spans="1:8" x14ac:dyDescent="0.2">
      <c r="A592" s="293" t="s">
        <v>813</v>
      </c>
      <c r="B592" s="488">
        <v>361</v>
      </c>
      <c r="C592" s="488">
        <v>361</v>
      </c>
      <c r="D592" s="294" t="s">
        <v>415</v>
      </c>
      <c r="E592" s="295">
        <v>14607</v>
      </c>
      <c r="F592" s="296">
        <v>5514</v>
      </c>
      <c r="G592" s="297">
        <v>150000</v>
      </c>
      <c r="H592" s="298">
        <f t="shared" si="9"/>
        <v>157500</v>
      </c>
    </row>
    <row r="593" spans="1:8" x14ac:dyDescent="0.2">
      <c r="A593" s="293" t="s">
        <v>814</v>
      </c>
      <c r="B593" s="488">
        <v>423</v>
      </c>
      <c r="C593" s="488">
        <v>423</v>
      </c>
      <c r="D593" s="294" t="s">
        <v>415</v>
      </c>
      <c r="E593" s="295">
        <v>14607</v>
      </c>
      <c r="F593" s="296">
        <v>1667</v>
      </c>
      <c r="G593" s="297">
        <v>104300</v>
      </c>
      <c r="H593" s="298">
        <f t="shared" si="9"/>
        <v>109515</v>
      </c>
    </row>
    <row r="594" spans="1:8" x14ac:dyDescent="0.2">
      <c r="A594" s="293" t="s">
        <v>815</v>
      </c>
      <c r="B594" s="488">
        <v>687</v>
      </c>
      <c r="C594" s="488">
        <v>687</v>
      </c>
      <c r="D594" s="294" t="s">
        <v>394</v>
      </c>
      <c r="E594" s="295">
        <v>14607</v>
      </c>
      <c r="F594" s="296">
        <v>7732</v>
      </c>
      <c r="G594" s="297">
        <v>102300</v>
      </c>
      <c r="H594" s="298">
        <f t="shared" si="9"/>
        <v>107415</v>
      </c>
    </row>
    <row r="595" spans="1:8" x14ac:dyDescent="0.2">
      <c r="A595" s="293" t="s">
        <v>658</v>
      </c>
      <c r="B595" s="488">
        <v>254</v>
      </c>
      <c r="C595" s="488">
        <v>254</v>
      </c>
      <c r="D595" s="294" t="s">
        <v>381</v>
      </c>
      <c r="E595" s="295">
        <v>14605</v>
      </c>
      <c r="F595" s="296">
        <v>8385</v>
      </c>
      <c r="G595" s="297">
        <v>46500</v>
      </c>
      <c r="H595" s="298">
        <f t="shared" si="9"/>
        <v>48825</v>
      </c>
    </row>
    <row r="596" spans="1:8" x14ac:dyDescent="0.2">
      <c r="A596" s="293" t="s">
        <v>816</v>
      </c>
      <c r="B596" s="488">
        <v>675</v>
      </c>
      <c r="C596" s="488">
        <v>675</v>
      </c>
      <c r="D596" s="294" t="s">
        <v>328</v>
      </c>
      <c r="E596" s="295">
        <v>14605</v>
      </c>
      <c r="F596" s="296">
        <v>16046</v>
      </c>
      <c r="G596" s="297">
        <v>180000</v>
      </c>
      <c r="H596" s="298">
        <f t="shared" si="9"/>
        <v>189000</v>
      </c>
    </row>
    <row r="597" spans="1:8" x14ac:dyDescent="0.2">
      <c r="A597" s="293" t="s">
        <v>817</v>
      </c>
      <c r="B597" s="488">
        <v>440</v>
      </c>
      <c r="C597" s="488">
        <v>454</v>
      </c>
      <c r="D597" s="294" t="s">
        <v>328</v>
      </c>
      <c r="E597" s="295">
        <v>14604</v>
      </c>
      <c r="F597" s="296">
        <v>16260</v>
      </c>
      <c r="G597" s="297">
        <v>5642200</v>
      </c>
      <c r="H597" s="298">
        <f t="shared" si="9"/>
        <v>5924310</v>
      </c>
    </row>
    <row r="598" spans="1:8" x14ac:dyDescent="0.2">
      <c r="A598" s="293" t="s">
        <v>818</v>
      </c>
      <c r="B598" s="488">
        <v>480</v>
      </c>
      <c r="C598" s="488">
        <v>480</v>
      </c>
      <c r="D598" s="294" t="s">
        <v>415</v>
      </c>
      <c r="E598" s="295">
        <v>14607</v>
      </c>
      <c r="F598" s="296">
        <v>110963</v>
      </c>
      <c r="G598" s="297">
        <v>1650600</v>
      </c>
      <c r="H598" s="298">
        <f t="shared" si="9"/>
        <v>1733130</v>
      </c>
    </row>
    <row r="599" spans="1:8" x14ac:dyDescent="0.2">
      <c r="A599" s="293" t="s">
        <v>819</v>
      </c>
      <c r="B599" s="488">
        <v>138</v>
      </c>
      <c r="C599" s="488">
        <v>138</v>
      </c>
      <c r="D599" s="294" t="s">
        <v>341</v>
      </c>
      <c r="E599" s="295">
        <v>14605</v>
      </c>
      <c r="F599" s="296">
        <v>4100</v>
      </c>
      <c r="G599" s="297">
        <v>20500</v>
      </c>
      <c r="H599" s="298">
        <f t="shared" si="9"/>
        <v>21525</v>
      </c>
    </row>
    <row r="600" spans="1:8" x14ac:dyDescent="0.2">
      <c r="A600" s="293" t="s">
        <v>349</v>
      </c>
      <c r="B600" s="488">
        <v>34</v>
      </c>
      <c r="C600" s="488">
        <v>34</v>
      </c>
      <c r="D600" s="294" t="s">
        <v>410</v>
      </c>
      <c r="E600" s="295">
        <v>14605</v>
      </c>
      <c r="F600" s="296">
        <v>4199</v>
      </c>
      <c r="G600" s="297">
        <v>188700</v>
      </c>
      <c r="H600" s="298">
        <f t="shared" si="9"/>
        <v>198135</v>
      </c>
    </row>
    <row r="601" spans="1:8" x14ac:dyDescent="0.2">
      <c r="A601" s="293" t="s">
        <v>820</v>
      </c>
      <c r="B601" s="488">
        <v>72</v>
      </c>
      <c r="C601" s="488">
        <v>76</v>
      </c>
      <c r="D601" s="294" t="s">
        <v>341</v>
      </c>
      <c r="E601" s="295">
        <v>14607</v>
      </c>
      <c r="F601" s="296">
        <v>7815</v>
      </c>
      <c r="G601" s="297">
        <v>147300</v>
      </c>
      <c r="H601" s="298">
        <f t="shared" si="9"/>
        <v>154665</v>
      </c>
    </row>
    <row r="602" spans="1:8" x14ac:dyDescent="0.2">
      <c r="A602" s="293" t="s">
        <v>371</v>
      </c>
      <c r="B602" s="488">
        <v>51</v>
      </c>
      <c r="C602" s="488">
        <v>51</v>
      </c>
      <c r="D602" s="294" t="s">
        <v>455</v>
      </c>
      <c r="E602" s="295">
        <v>14607</v>
      </c>
      <c r="F602" s="296">
        <v>3018</v>
      </c>
      <c r="G602" s="297">
        <v>145000</v>
      </c>
      <c r="H602" s="298">
        <f t="shared" si="9"/>
        <v>152250</v>
      </c>
    </row>
    <row r="603" spans="1:8" x14ac:dyDescent="0.2">
      <c r="A603" s="293" t="s">
        <v>621</v>
      </c>
      <c r="B603" s="488">
        <v>3</v>
      </c>
      <c r="C603" s="488">
        <v>3</v>
      </c>
      <c r="D603" s="294" t="s">
        <v>471</v>
      </c>
      <c r="E603" s="295">
        <v>14607</v>
      </c>
      <c r="F603" s="296">
        <v>2444</v>
      </c>
      <c r="G603" s="297">
        <v>5000</v>
      </c>
      <c r="H603" s="298">
        <f t="shared" si="9"/>
        <v>5250</v>
      </c>
    </row>
    <row r="604" spans="1:8" x14ac:dyDescent="0.2">
      <c r="A604" s="293" t="s">
        <v>821</v>
      </c>
      <c r="B604" s="488">
        <v>699</v>
      </c>
      <c r="C604" s="488">
        <v>699</v>
      </c>
      <c r="D604" s="294" t="s">
        <v>328</v>
      </c>
      <c r="E604" s="295">
        <v>14605</v>
      </c>
      <c r="F604" s="296">
        <v>16660</v>
      </c>
      <c r="G604" s="297">
        <v>615000</v>
      </c>
      <c r="H604" s="298">
        <f t="shared" si="9"/>
        <v>645750</v>
      </c>
    </row>
    <row r="605" spans="1:8" x14ac:dyDescent="0.2">
      <c r="A605" s="293" t="s">
        <v>370</v>
      </c>
      <c r="B605" s="488">
        <v>75</v>
      </c>
      <c r="C605" s="488">
        <v>75</v>
      </c>
      <c r="D605" s="294" t="s">
        <v>377</v>
      </c>
      <c r="E605" s="295">
        <v>14607</v>
      </c>
      <c r="F605" s="296">
        <v>46310</v>
      </c>
      <c r="G605" s="297">
        <v>140000</v>
      </c>
      <c r="H605" s="298">
        <f t="shared" si="9"/>
        <v>147000</v>
      </c>
    </row>
    <row r="606" spans="1:8" x14ac:dyDescent="0.2">
      <c r="A606" s="293" t="s">
        <v>822</v>
      </c>
      <c r="B606" s="488">
        <v>650</v>
      </c>
      <c r="C606" s="488">
        <v>672</v>
      </c>
      <c r="D606" s="294" t="s">
        <v>328</v>
      </c>
      <c r="E606" s="295">
        <v>14605</v>
      </c>
      <c r="F606" s="296">
        <v>49223</v>
      </c>
      <c r="G606" s="297">
        <v>850000</v>
      </c>
      <c r="H606" s="298">
        <f t="shared" si="9"/>
        <v>892500</v>
      </c>
    </row>
    <row r="607" spans="1:8" x14ac:dyDescent="0.2">
      <c r="A607" s="293" t="s">
        <v>823</v>
      </c>
      <c r="B607" s="488">
        <v>271</v>
      </c>
      <c r="C607" s="488">
        <v>271</v>
      </c>
      <c r="D607" s="294" t="s">
        <v>381</v>
      </c>
      <c r="E607" s="295">
        <v>14605</v>
      </c>
      <c r="F607" s="296">
        <v>7144</v>
      </c>
      <c r="G607" s="297">
        <v>3000</v>
      </c>
      <c r="H607" s="298">
        <f t="shared" si="9"/>
        <v>3150</v>
      </c>
    </row>
    <row r="608" spans="1:8" x14ac:dyDescent="0.2">
      <c r="A608" s="293" t="s">
        <v>533</v>
      </c>
      <c r="B608" s="488">
        <v>267</v>
      </c>
      <c r="C608" s="488">
        <v>267</v>
      </c>
      <c r="D608" s="294" t="s">
        <v>381</v>
      </c>
      <c r="E608" s="295">
        <v>14605</v>
      </c>
      <c r="F608" s="296">
        <v>6815</v>
      </c>
      <c r="G608" s="297">
        <v>3200</v>
      </c>
      <c r="H608" s="298">
        <f t="shared" si="9"/>
        <v>3360</v>
      </c>
    </row>
    <row r="609" spans="1:8" x14ac:dyDescent="0.2">
      <c r="A609" s="293" t="s">
        <v>634</v>
      </c>
      <c r="B609" s="488">
        <v>125</v>
      </c>
      <c r="C609" s="488">
        <v>125</v>
      </c>
      <c r="D609" s="294" t="s">
        <v>341</v>
      </c>
      <c r="E609" s="295">
        <v>14605</v>
      </c>
      <c r="F609" s="296">
        <v>4851</v>
      </c>
      <c r="G609" s="297">
        <v>46600</v>
      </c>
      <c r="H609" s="298">
        <f t="shared" si="9"/>
        <v>48930</v>
      </c>
    </row>
    <row r="610" spans="1:8" x14ac:dyDescent="0.2">
      <c r="A610" s="293" t="s">
        <v>824</v>
      </c>
      <c r="B610" s="488">
        <v>140</v>
      </c>
      <c r="C610" s="488">
        <v>140</v>
      </c>
      <c r="D610" s="294" t="s">
        <v>341</v>
      </c>
      <c r="E610" s="295">
        <v>14605</v>
      </c>
      <c r="F610" s="296">
        <v>10</v>
      </c>
      <c r="G610" s="297">
        <v>100</v>
      </c>
      <c r="H610" s="298">
        <f t="shared" si="9"/>
        <v>105</v>
      </c>
    </row>
    <row r="611" spans="1:8" x14ac:dyDescent="0.2">
      <c r="A611" s="293" t="s">
        <v>825</v>
      </c>
      <c r="B611" s="488">
        <v>411</v>
      </c>
      <c r="C611" s="488">
        <v>411</v>
      </c>
      <c r="D611" s="294" t="s">
        <v>330</v>
      </c>
      <c r="E611" s="295">
        <v>14607</v>
      </c>
      <c r="F611" s="296">
        <v>5797</v>
      </c>
      <c r="G611" s="297">
        <v>14000</v>
      </c>
      <c r="H611" s="298">
        <f t="shared" si="9"/>
        <v>14700</v>
      </c>
    </row>
    <row r="612" spans="1:8" x14ac:dyDescent="0.2">
      <c r="A612" s="293" t="s">
        <v>779</v>
      </c>
      <c r="B612" s="488">
        <v>20</v>
      </c>
      <c r="C612" s="488">
        <v>24</v>
      </c>
      <c r="D612" s="294" t="s">
        <v>410</v>
      </c>
      <c r="E612" s="295">
        <v>14605</v>
      </c>
      <c r="F612" s="296">
        <v>4126</v>
      </c>
      <c r="G612" s="297">
        <v>224000</v>
      </c>
      <c r="H612" s="298">
        <f t="shared" si="9"/>
        <v>235200</v>
      </c>
    </row>
    <row r="613" spans="1:8" x14ac:dyDescent="0.2">
      <c r="A613" s="293" t="s">
        <v>416</v>
      </c>
      <c r="B613" s="488">
        <v>7</v>
      </c>
      <c r="C613" s="488">
        <v>7</v>
      </c>
      <c r="D613" s="294" t="s">
        <v>334</v>
      </c>
      <c r="E613" s="295">
        <v>14607</v>
      </c>
      <c r="F613" s="296">
        <v>9750</v>
      </c>
      <c r="G613" s="297">
        <v>300000</v>
      </c>
      <c r="H613" s="298">
        <f t="shared" si="9"/>
        <v>315000</v>
      </c>
    </row>
    <row r="614" spans="1:8" x14ac:dyDescent="0.2">
      <c r="A614" s="293" t="s">
        <v>776</v>
      </c>
      <c r="B614" s="488">
        <v>50</v>
      </c>
      <c r="C614" s="488">
        <v>50</v>
      </c>
      <c r="D614" s="294" t="s">
        <v>341</v>
      </c>
      <c r="E614" s="295">
        <v>14607</v>
      </c>
      <c r="F614" s="296">
        <v>18014</v>
      </c>
      <c r="G614" s="297">
        <v>85000</v>
      </c>
      <c r="H614" s="298">
        <f t="shared" si="9"/>
        <v>89250</v>
      </c>
    </row>
    <row r="615" spans="1:8" x14ac:dyDescent="0.2">
      <c r="A615" s="293" t="s">
        <v>364</v>
      </c>
      <c r="B615" s="488">
        <v>135</v>
      </c>
      <c r="C615" s="488">
        <v>135</v>
      </c>
      <c r="D615" s="294" t="s">
        <v>348</v>
      </c>
      <c r="E615" s="295">
        <v>14607</v>
      </c>
      <c r="F615" s="296">
        <v>7275</v>
      </c>
      <c r="G615" s="297">
        <v>140000</v>
      </c>
      <c r="H615" s="298">
        <f t="shared" si="9"/>
        <v>147000</v>
      </c>
    </row>
    <row r="616" spans="1:8" x14ac:dyDescent="0.2">
      <c r="A616" s="293" t="s">
        <v>826</v>
      </c>
      <c r="B616" s="488">
        <v>153</v>
      </c>
      <c r="C616" s="488">
        <v>155</v>
      </c>
      <c r="D616" s="294" t="s">
        <v>341</v>
      </c>
      <c r="E616" s="295">
        <v>14605</v>
      </c>
      <c r="F616" s="296">
        <v>5920</v>
      </c>
      <c r="G616" s="297">
        <v>97200</v>
      </c>
      <c r="H616" s="298">
        <f t="shared" si="9"/>
        <v>102060</v>
      </c>
    </row>
    <row r="617" spans="1:8" x14ac:dyDescent="0.2">
      <c r="A617" s="293" t="s">
        <v>827</v>
      </c>
      <c r="B617" s="488">
        <v>250</v>
      </c>
      <c r="C617" s="488">
        <v>250</v>
      </c>
      <c r="D617" s="294" t="s">
        <v>381</v>
      </c>
      <c r="E617" s="295">
        <v>14605</v>
      </c>
      <c r="F617" s="296">
        <v>4290</v>
      </c>
      <c r="G617" s="297">
        <v>37000</v>
      </c>
      <c r="H617" s="298">
        <f t="shared" si="9"/>
        <v>38850</v>
      </c>
    </row>
    <row r="618" spans="1:8" x14ac:dyDescent="0.2">
      <c r="A618" s="293" t="s">
        <v>465</v>
      </c>
      <c r="B618" s="488">
        <v>415</v>
      </c>
      <c r="C618" s="488">
        <v>415</v>
      </c>
      <c r="D618" s="294" t="s">
        <v>330</v>
      </c>
      <c r="E618" s="295">
        <v>14607</v>
      </c>
      <c r="F618" s="296">
        <v>4036</v>
      </c>
      <c r="G618" s="297">
        <v>84000</v>
      </c>
      <c r="H618" s="298">
        <f t="shared" si="9"/>
        <v>88200</v>
      </c>
    </row>
    <row r="619" spans="1:8" x14ac:dyDescent="0.2">
      <c r="A619" s="293" t="s">
        <v>732</v>
      </c>
      <c r="B619" s="488">
        <v>65</v>
      </c>
      <c r="C619" s="488">
        <v>65</v>
      </c>
      <c r="D619" s="294" t="s">
        <v>410</v>
      </c>
      <c r="E619" s="295">
        <v>14605</v>
      </c>
      <c r="F619" s="296">
        <v>3140</v>
      </c>
      <c r="G619" s="297">
        <v>404000</v>
      </c>
      <c r="H619" s="298">
        <f t="shared" si="9"/>
        <v>424200</v>
      </c>
    </row>
    <row r="620" spans="1:8" x14ac:dyDescent="0.2">
      <c r="A620" s="293" t="s">
        <v>488</v>
      </c>
      <c r="B620" s="488">
        <v>16</v>
      </c>
      <c r="C620" s="488">
        <v>16</v>
      </c>
      <c r="D620" s="294" t="s">
        <v>452</v>
      </c>
      <c r="E620" s="295">
        <v>14607</v>
      </c>
      <c r="F620" s="296">
        <v>5620</v>
      </c>
      <c r="G620" s="297">
        <v>122000</v>
      </c>
      <c r="H620" s="298">
        <f t="shared" si="9"/>
        <v>128100</v>
      </c>
    </row>
    <row r="621" spans="1:8" x14ac:dyDescent="0.2">
      <c r="A621" s="293" t="s">
        <v>828</v>
      </c>
      <c r="B621" s="488">
        <v>419</v>
      </c>
      <c r="C621" s="488">
        <v>419</v>
      </c>
      <c r="D621" s="294" t="s">
        <v>415</v>
      </c>
      <c r="E621" s="295">
        <v>14607</v>
      </c>
      <c r="F621" s="296">
        <v>1667</v>
      </c>
      <c r="G621" s="297">
        <v>101300</v>
      </c>
      <c r="H621" s="298">
        <f t="shared" si="9"/>
        <v>106365</v>
      </c>
    </row>
    <row r="622" spans="1:8" x14ac:dyDescent="0.2">
      <c r="A622" s="293" t="s">
        <v>829</v>
      </c>
      <c r="B622" s="488">
        <v>701</v>
      </c>
      <c r="C622" s="488">
        <v>701</v>
      </c>
      <c r="D622" s="294" t="s">
        <v>394</v>
      </c>
      <c r="E622" s="295">
        <v>14607</v>
      </c>
      <c r="F622" s="296">
        <v>7707</v>
      </c>
      <c r="G622" s="297">
        <v>90000</v>
      </c>
      <c r="H622" s="298">
        <f t="shared" si="9"/>
        <v>94500</v>
      </c>
    </row>
    <row r="623" spans="1:8" x14ac:dyDescent="0.2">
      <c r="A623" s="293" t="s">
        <v>830</v>
      </c>
      <c r="B623" s="488">
        <v>133</v>
      </c>
      <c r="C623" s="488">
        <v>137</v>
      </c>
      <c r="D623" s="294" t="s">
        <v>420</v>
      </c>
      <c r="E623" s="295">
        <v>14604</v>
      </c>
      <c r="F623" s="296">
        <v>4854</v>
      </c>
      <c r="G623" s="297">
        <v>302200</v>
      </c>
      <c r="H623" s="298">
        <f t="shared" si="9"/>
        <v>317310</v>
      </c>
    </row>
    <row r="624" spans="1:8" x14ac:dyDescent="0.2">
      <c r="A624" s="293" t="s">
        <v>580</v>
      </c>
      <c r="B624" s="488">
        <v>40</v>
      </c>
      <c r="C624" s="488">
        <v>40</v>
      </c>
      <c r="D624" s="294" t="s">
        <v>361</v>
      </c>
      <c r="E624" s="295">
        <v>14607</v>
      </c>
      <c r="F624" s="296">
        <v>3455</v>
      </c>
      <c r="G624" s="297">
        <v>36000</v>
      </c>
      <c r="H624" s="298">
        <f t="shared" si="9"/>
        <v>37800</v>
      </c>
    </row>
    <row r="625" spans="1:8" x14ac:dyDescent="0.2">
      <c r="A625" s="293" t="s">
        <v>776</v>
      </c>
      <c r="B625" s="488">
        <v>50</v>
      </c>
      <c r="C625" s="488">
        <v>50</v>
      </c>
      <c r="D625" s="294" t="s">
        <v>354</v>
      </c>
      <c r="E625" s="295">
        <v>14607</v>
      </c>
      <c r="F625" s="296">
        <v>4766</v>
      </c>
      <c r="G625" s="297">
        <v>151800</v>
      </c>
      <c r="H625" s="298">
        <f t="shared" si="9"/>
        <v>159390</v>
      </c>
    </row>
    <row r="626" spans="1:8" x14ac:dyDescent="0.2">
      <c r="A626" s="293" t="s">
        <v>831</v>
      </c>
      <c r="B626" s="488">
        <v>205</v>
      </c>
      <c r="C626" s="488">
        <v>215</v>
      </c>
      <c r="D626" s="294" t="s">
        <v>420</v>
      </c>
      <c r="E626" s="295">
        <v>14604</v>
      </c>
      <c r="F626" s="296">
        <v>13209</v>
      </c>
      <c r="G626" s="297">
        <v>195000</v>
      </c>
      <c r="H626" s="298">
        <f t="shared" si="9"/>
        <v>204750</v>
      </c>
    </row>
    <row r="627" spans="1:8" x14ac:dyDescent="0.2">
      <c r="A627" s="293" t="s">
        <v>833</v>
      </c>
      <c r="B627" s="488">
        <v>375</v>
      </c>
      <c r="C627" s="488">
        <v>375.5</v>
      </c>
      <c r="D627" s="294" t="s">
        <v>330</v>
      </c>
      <c r="E627" s="295">
        <v>14607</v>
      </c>
      <c r="F627" s="296">
        <v>5221</v>
      </c>
      <c r="G627" s="297">
        <v>100000</v>
      </c>
      <c r="H627" s="298">
        <f t="shared" si="9"/>
        <v>105000</v>
      </c>
    </row>
    <row r="628" spans="1:8" x14ac:dyDescent="0.2">
      <c r="A628" s="293" t="s">
        <v>529</v>
      </c>
      <c r="B628" s="488">
        <v>56</v>
      </c>
      <c r="C628" s="488">
        <v>56</v>
      </c>
      <c r="D628" s="294" t="s">
        <v>475</v>
      </c>
      <c r="E628" s="295">
        <v>14607</v>
      </c>
      <c r="F628" s="296">
        <v>1533</v>
      </c>
      <c r="G628" s="297">
        <v>57000</v>
      </c>
      <c r="H628" s="298">
        <f t="shared" si="9"/>
        <v>59850</v>
      </c>
    </row>
    <row r="629" spans="1:8" x14ac:dyDescent="0.2">
      <c r="A629" s="293" t="s">
        <v>567</v>
      </c>
      <c r="B629" s="488">
        <v>82</v>
      </c>
      <c r="C629" s="488">
        <v>82</v>
      </c>
      <c r="D629" s="294" t="s">
        <v>361</v>
      </c>
      <c r="E629" s="295">
        <v>14607</v>
      </c>
      <c r="F629" s="296">
        <v>3963</v>
      </c>
      <c r="G629" s="297">
        <v>68900</v>
      </c>
      <c r="H629" s="298">
        <f t="shared" si="9"/>
        <v>72345</v>
      </c>
    </row>
    <row r="630" spans="1:8" x14ac:dyDescent="0.2">
      <c r="A630" s="293" t="s">
        <v>442</v>
      </c>
      <c r="B630" s="488">
        <v>26</v>
      </c>
      <c r="C630" s="488">
        <v>26</v>
      </c>
      <c r="D630" s="294" t="s">
        <v>377</v>
      </c>
      <c r="E630" s="295">
        <v>14607</v>
      </c>
      <c r="F630" s="296">
        <v>3574</v>
      </c>
      <c r="G630" s="297">
        <v>21000</v>
      </c>
      <c r="H630" s="298">
        <f t="shared" si="9"/>
        <v>22050</v>
      </c>
    </row>
    <row r="631" spans="1:8" x14ac:dyDescent="0.2">
      <c r="A631" s="293" t="s">
        <v>429</v>
      </c>
      <c r="B631" s="488">
        <v>235</v>
      </c>
      <c r="C631" s="488">
        <v>235</v>
      </c>
      <c r="D631" s="294" t="s">
        <v>348</v>
      </c>
      <c r="E631" s="295">
        <v>14607</v>
      </c>
      <c r="F631" s="296">
        <v>6849</v>
      </c>
      <c r="G631" s="297">
        <v>182000</v>
      </c>
      <c r="H631" s="298">
        <f t="shared" si="9"/>
        <v>191100</v>
      </c>
    </row>
    <row r="632" spans="1:8" x14ac:dyDescent="0.2">
      <c r="A632" s="293" t="s">
        <v>488</v>
      </c>
      <c r="B632" s="488">
        <v>16</v>
      </c>
      <c r="C632" s="488">
        <v>16</v>
      </c>
      <c r="D632" s="294" t="s">
        <v>373</v>
      </c>
      <c r="E632" s="295">
        <v>14607</v>
      </c>
      <c r="F632" s="296">
        <v>3300</v>
      </c>
      <c r="G632" s="297">
        <v>15000</v>
      </c>
      <c r="H632" s="298">
        <f t="shared" si="9"/>
        <v>15750</v>
      </c>
    </row>
    <row r="633" spans="1:8" x14ac:dyDescent="0.2">
      <c r="A633" s="293" t="s">
        <v>736</v>
      </c>
      <c r="B633" s="488">
        <v>9</v>
      </c>
      <c r="C633" s="488">
        <v>9</v>
      </c>
      <c r="D633" s="294" t="s">
        <v>452</v>
      </c>
      <c r="E633" s="295">
        <v>14607</v>
      </c>
      <c r="F633" s="296">
        <v>9452</v>
      </c>
      <c r="G633" s="297">
        <v>125000</v>
      </c>
      <c r="H633" s="298">
        <f t="shared" si="9"/>
        <v>131250</v>
      </c>
    </row>
    <row r="634" spans="1:8" x14ac:dyDescent="0.2">
      <c r="A634" s="293" t="s">
        <v>834</v>
      </c>
      <c r="B634" s="488">
        <v>276</v>
      </c>
      <c r="C634" s="488">
        <v>276</v>
      </c>
      <c r="D634" s="294" t="s">
        <v>381</v>
      </c>
      <c r="E634" s="295">
        <v>14605</v>
      </c>
      <c r="F634" s="296">
        <v>4290</v>
      </c>
      <c r="G634" s="297">
        <v>22300</v>
      </c>
      <c r="H634" s="298">
        <f t="shared" si="9"/>
        <v>23415</v>
      </c>
    </row>
    <row r="635" spans="1:8" x14ac:dyDescent="0.2">
      <c r="A635" s="293" t="s">
        <v>835</v>
      </c>
      <c r="B635" s="488">
        <v>194</v>
      </c>
      <c r="C635" s="488">
        <v>194</v>
      </c>
      <c r="D635" s="294" t="s">
        <v>381</v>
      </c>
      <c r="E635" s="295">
        <v>14605</v>
      </c>
      <c r="F635" s="296">
        <v>3667</v>
      </c>
      <c r="G635" s="297">
        <v>24100</v>
      </c>
      <c r="H635" s="298">
        <f t="shared" si="9"/>
        <v>25305</v>
      </c>
    </row>
    <row r="636" spans="1:8" x14ac:dyDescent="0.2">
      <c r="A636" s="299" t="s">
        <v>836</v>
      </c>
      <c r="B636" s="489">
        <v>42</v>
      </c>
      <c r="C636" s="489">
        <v>44</v>
      </c>
      <c r="D636" s="300" t="s">
        <v>455</v>
      </c>
      <c r="E636" s="301">
        <v>14607</v>
      </c>
      <c r="F636" s="302">
        <v>3040</v>
      </c>
      <c r="G636" s="303">
        <v>95000</v>
      </c>
      <c r="H636" s="304">
        <f t="shared" si="9"/>
        <v>99750</v>
      </c>
    </row>
    <row r="637" spans="1:8" x14ac:dyDescent="0.2">
      <c r="A637" s="293" t="s">
        <v>490</v>
      </c>
      <c r="B637" s="488">
        <v>18</v>
      </c>
      <c r="C637" s="488">
        <v>18</v>
      </c>
      <c r="D637" s="294" t="s">
        <v>452</v>
      </c>
      <c r="E637" s="295">
        <v>14607</v>
      </c>
      <c r="F637" s="296">
        <v>9467</v>
      </c>
      <c r="G637" s="297">
        <v>47500</v>
      </c>
      <c r="H637" s="298">
        <f t="shared" si="9"/>
        <v>49875</v>
      </c>
    </row>
    <row r="638" spans="1:8" x14ac:dyDescent="0.2">
      <c r="A638" s="293" t="s">
        <v>837</v>
      </c>
      <c r="B638" s="488">
        <v>75</v>
      </c>
      <c r="C638" s="488">
        <v>77</v>
      </c>
      <c r="D638" s="294" t="s">
        <v>450</v>
      </c>
      <c r="E638" s="295">
        <v>14607</v>
      </c>
      <c r="F638" s="296">
        <v>5000</v>
      </c>
      <c r="G638" s="297">
        <v>78700</v>
      </c>
      <c r="H638" s="298">
        <f t="shared" si="9"/>
        <v>82635</v>
      </c>
    </row>
    <row r="639" spans="1:8" x14ac:dyDescent="0.2">
      <c r="A639" s="293" t="s">
        <v>838</v>
      </c>
      <c r="B639" s="488">
        <v>333</v>
      </c>
      <c r="C639" s="488">
        <v>351</v>
      </c>
      <c r="D639" s="294" t="s">
        <v>420</v>
      </c>
      <c r="E639" s="295">
        <v>14604</v>
      </c>
      <c r="F639" s="296">
        <v>40679</v>
      </c>
      <c r="G639" s="297">
        <v>1530000</v>
      </c>
      <c r="H639" s="298">
        <f t="shared" si="9"/>
        <v>1606500</v>
      </c>
    </row>
    <row r="640" spans="1:8" x14ac:dyDescent="0.2">
      <c r="A640" s="293" t="s">
        <v>498</v>
      </c>
      <c r="B640" s="488">
        <v>22</v>
      </c>
      <c r="C640" s="488">
        <v>22</v>
      </c>
      <c r="D640" s="294" t="s">
        <v>625</v>
      </c>
      <c r="E640" s="295">
        <v>14607</v>
      </c>
      <c r="F640" s="296">
        <v>6564</v>
      </c>
      <c r="G640" s="297">
        <v>29500</v>
      </c>
      <c r="H640" s="298">
        <f t="shared" si="9"/>
        <v>30975</v>
      </c>
    </row>
    <row r="641" spans="1:8" x14ac:dyDescent="0.2">
      <c r="A641" s="293" t="s">
        <v>839</v>
      </c>
      <c r="B641" s="488">
        <v>387</v>
      </c>
      <c r="C641" s="488">
        <v>387</v>
      </c>
      <c r="D641" s="294" t="s">
        <v>415</v>
      </c>
      <c r="E641" s="295">
        <v>14607</v>
      </c>
      <c r="F641" s="296">
        <v>1667</v>
      </c>
      <c r="G641" s="297">
        <v>99500</v>
      </c>
      <c r="H641" s="298">
        <f t="shared" si="9"/>
        <v>104475</v>
      </c>
    </row>
    <row r="642" spans="1:8" x14ac:dyDescent="0.2">
      <c r="A642" s="293" t="s">
        <v>840</v>
      </c>
      <c r="B642" s="488">
        <v>460</v>
      </c>
      <c r="C642" s="488">
        <v>460</v>
      </c>
      <c r="D642" s="294" t="s">
        <v>328</v>
      </c>
      <c r="E642" s="295">
        <v>14604</v>
      </c>
      <c r="F642" s="296">
        <v>7379</v>
      </c>
      <c r="G642" s="297">
        <v>75000</v>
      </c>
      <c r="H642" s="298">
        <f t="shared" si="9"/>
        <v>78750</v>
      </c>
    </row>
    <row r="643" spans="1:8" x14ac:dyDescent="0.2">
      <c r="A643" s="293" t="s">
        <v>841</v>
      </c>
      <c r="B643" s="488">
        <v>175</v>
      </c>
      <c r="C643" s="488">
        <v>175</v>
      </c>
      <c r="D643" s="294" t="s">
        <v>377</v>
      </c>
      <c r="E643" s="295">
        <v>14607</v>
      </c>
      <c r="F643" s="296">
        <v>5388</v>
      </c>
      <c r="G643" s="297">
        <v>35000</v>
      </c>
      <c r="H643" s="298">
        <f t="shared" si="9"/>
        <v>36750</v>
      </c>
    </row>
    <row r="644" spans="1:8" x14ac:dyDescent="0.2">
      <c r="A644" s="293" t="s">
        <v>842</v>
      </c>
      <c r="B644" s="488">
        <v>307</v>
      </c>
      <c r="C644" s="488">
        <v>307</v>
      </c>
      <c r="D644" s="294" t="s">
        <v>348</v>
      </c>
      <c r="E644" s="295">
        <v>14607</v>
      </c>
      <c r="F644" s="296">
        <v>8250</v>
      </c>
      <c r="G644" s="297">
        <v>173200</v>
      </c>
      <c r="H644" s="298">
        <f t="shared" si="9"/>
        <v>181860</v>
      </c>
    </row>
    <row r="645" spans="1:8" x14ac:dyDescent="0.2">
      <c r="A645" s="293" t="s">
        <v>843</v>
      </c>
      <c r="B645" s="488">
        <v>353</v>
      </c>
      <c r="C645" s="488">
        <v>353</v>
      </c>
      <c r="D645" s="294" t="s">
        <v>844</v>
      </c>
      <c r="E645" s="295">
        <v>14607</v>
      </c>
      <c r="F645" s="296">
        <v>191410</v>
      </c>
      <c r="G645" s="297">
        <v>1100000</v>
      </c>
      <c r="H645" s="298">
        <f t="shared" si="9"/>
        <v>1155000</v>
      </c>
    </row>
    <row r="646" spans="1:8" x14ac:dyDescent="0.2">
      <c r="A646" s="293" t="s">
        <v>376</v>
      </c>
      <c r="B646" s="488">
        <v>95</v>
      </c>
      <c r="C646" s="488">
        <v>95</v>
      </c>
      <c r="D646" s="294" t="s">
        <v>348</v>
      </c>
      <c r="E646" s="295">
        <v>14607</v>
      </c>
      <c r="F646" s="296">
        <v>5965</v>
      </c>
      <c r="G646" s="297">
        <v>185000</v>
      </c>
      <c r="H646" s="298">
        <f t="shared" si="9"/>
        <v>194250</v>
      </c>
    </row>
    <row r="647" spans="1:8" x14ac:dyDescent="0.2">
      <c r="A647" s="293" t="s">
        <v>845</v>
      </c>
      <c r="B647" s="488">
        <v>265</v>
      </c>
      <c r="C647" s="488">
        <v>265</v>
      </c>
      <c r="D647" s="294" t="s">
        <v>330</v>
      </c>
      <c r="E647" s="295">
        <v>14607</v>
      </c>
      <c r="F647" s="296">
        <v>18549</v>
      </c>
      <c r="G647" s="297">
        <v>165000</v>
      </c>
      <c r="H647" s="298">
        <f t="shared" ref="H647:H710" si="10">G647*1.05</f>
        <v>173250</v>
      </c>
    </row>
    <row r="648" spans="1:8" x14ac:dyDescent="0.2">
      <c r="A648" s="293" t="s">
        <v>846</v>
      </c>
      <c r="B648" s="488">
        <v>322</v>
      </c>
      <c r="C648" s="488">
        <v>322</v>
      </c>
      <c r="D648" s="294" t="s">
        <v>332</v>
      </c>
      <c r="E648" s="295">
        <v>14607</v>
      </c>
      <c r="F648" s="296">
        <v>9900</v>
      </c>
      <c r="G648" s="297">
        <v>43000</v>
      </c>
      <c r="H648" s="298">
        <f t="shared" si="10"/>
        <v>45150</v>
      </c>
    </row>
    <row r="649" spans="1:8" x14ac:dyDescent="0.2">
      <c r="A649" s="293" t="s">
        <v>825</v>
      </c>
      <c r="B649" s="488">
        <v>411</v>
      </c>
      <c r="C649" s="488">
        <v>411</v>
      </c>
      <c r="D649" s="294" t="s">
        <v>415</v>
      </c>
      <c r="E649" s="295">
        <v>14607</v>
      </c>
      <c r="F649" s="296">
        <v>3033</v>
      </c>
      <c r="G649" s="297">
        <v>100000</v>
      </c>
      <c r="H649" s="298">
        <f t="shared" si="10"/>
        <v>105000</v>
      </c>
    </row>
    <row r="650" spans="1:8" x14ac:dyDescent="0.2">
      <c r="A650" s="293" t="s">
        <v>360</v>
      </c>
      <c r="B650" s="488">
        <v>21</v>
      </c>
      <c r="C650" s="488">
        <v>21</v>
      </c>
      <c r="D650" s="294" t="s">
        <v>455</v>
      </c>
      <c r="E650" s="295">
        <v>14607</v>
      </c>
      <c r="F650" s="296">
        <v>3018</v>
      </c>
      <c r="G650" s="297">
        <v>147000</v>
      </c>
      <c r="H650" s="298">
        <f t="shared" si="10"/>
        <v>154350</v>
      </c>
    </row>
    <row r="651" spans="1:8" x14ac:dyDescent="0.2">
      <c r="A651" s="293" t="s">
        <v>847</v>
      </c>
      <c r="B651" s="488">
        <v>49</v>
      </c>
      <c r="C651" s="488">
        <v>49</v>
      </c>
      <c r="D651" s="294" t="s">
        <v>348</v>
      </c>
      <c r="E651" s="295">
        <v>14607</v>
      </c>
      <c r="F651" s="296">
        <v>8000</v>
      </c>
      <c r="G651" s="297">
        <v>155800</v>
      </c>
      <c r="H651" s="298">
        <f t="shared" si="10"/>
        <v>163590</v>
      </c>
    </row>
    <row r="652" spans="1:8" x14ac:dyDescent="0.2">
      <c r="A652" s="293" t="s">
        <v>848</v>
      </c>
      <c r="B652" s="488">
        <v>101</v>
      </c>
      <c r="C652" s="488">
        <v>101</v>
      </c>
      <c r="D652" s="294" t="s">
        <v>341</v>
      </c>
      <c r="E652" s="295">
        <v>14607</v>
      </c>
      <c r="F652" s="296">
        <v>13364</v>
      </c>
      <c r="G652" s="297">
        <v>17000</v>
      </c>
      <c r="H652" s="298">
        <f t="shared" si="10"/>
        <v>17850</v>
      </c>
    </row>
    <row r="653" spans="1:8" x14ac:dyDescent="0.2">
      <c r="A653" s="293" t="s">
        <v>498</v>
      </c>
      <c r="B653" s="488">
        <v>22</v>
      </c>
      <c r="C653" s="488">
        <v>22</v>
      </c>
      <c r="D653" s="294" t="s">
        <v>849</v>
      </c>
      <c r="E653" s="295">
        <v>14607</v>
      </c>
      <c r="F653" s="296">
        <v>3379</v>
      </c>
      <c r="G653" s="297">
        <v>45000</v>
      </c>
      <c r="H653" s="298">
        <f t="shared" si="10"/>
        <v>47250</v>
      </c>
    </row>
    <row r="654" spans="1:8" x14ac:dyDescent="0.2">
      <c r="A654" s="293" t="s">
        <v>657</v>
      </c>
      <c r="B654" s="488">
        <v>72</v>
      </c>
      <c r="C654" s="488">
        <v>72</v>
      </c>
      <c r="D654" s="294" t="s">
        <v>354</v>
      </c>
      <c r="E654" s="295">
        <v>14607</v>
      </c>
      <c r="F654" s="296">
        <v>6504</v>
      </c>
      <c r="G654" s="297">
        <v>252000</v>
      </c>
      <c r="H654" s="298">
        <f t="shared" si="10"/>
        <v>264600</v>
      </c>
    </row>
    <row r="655" spans="1:8" x14ac:dyDescent="0.2">
      <c r="A655" s="293" t="s">
        <v>349</v>
      </c>
      <c r="B655" s="488">
        <v>34</v>
      </c>
      <c r="C655" s="488">
        <v>34</v>
      </c>
      <c r="D655" s="294" t="s">
        <v>339</v>
      </c>
      <c r="E655" s="295">
        <v>14607</v>
      </c>
      <c r="F655" s="296">
        <v>3649</v>
      </c>
      <c r="G655" s="297">
        <v>179800</v>
      </c>
      <c r="H655" s="298">
        <f t="shared" si="10"/>
        <v>188790</v>
      </c>
    </row>
    <row r="656" spans="1:8" x14ac:dyDescent="0.2">
      <c r="A656" s="293" t="s">
        <v>850</v>
      </c>
      <c r="B656" s="488">
        <v>198</v>
      </c>
      <c r="C656" s="488">
        <v>198</v>
      </c>
      <c r="D656" s="294" t="s">
        <v>381</v>
      </c>
      <c r="E656" s="295">
        <v>14605</v>
      </c>
      <c r="F656" s="296">
        <v>4290</v>
      </c>
      <c r="G656" s="297">
        <v>30000</v>
      </c>
      <c r="H656" s="298">
        <f t="shared" si="10"/>
        <v>31500</v>
      </c>
    </row>
    <row r="657" spans="1:8" x14ac:dyDescent="0.2">
      <c r="A657" s="293" t="s">
        <v>488</v>
      </c>
      <c r="B657" s="488">
        <v>16</v>
      </c>
      <c r="C657" s="488">
        <v>16</v>
      </c>
      <c r="D657" s="294" t="s">
        <v>460</v>
      </c>
      <c r="E657" s="295">
        <v>14607</v>
      </c>
      <c r="F657" s="296">
        <v>7074</v>
      </c>
      <c r="G657" s="297">
        <v>210000</v>
      </c>
      <c r="H657" s="298">
        <f t="shared" si="10"/>
        <v>220500</v>
      </c>
    </row>
    <row r="658" spans="1:8" x14ac:dyDescent="0.2">
      <c r="A658" s="293" t="s">
        <v>601</v>
      </c>
      <c r="B658" s="488">
        <v>417</v>
      </c>
      <c r="C658" s="488">
        <v>417</v>
      </c>
      <c r="D658" s="294" t="s">
        <v>415</v>
      </c>
      <c r="E658" s="295">
        <v>14607</v>
      </c>
      <c r="F658" s="296">
        <v>1667</v>
      </c>
      <c r="G658" s="297">
        <v>106100</v>
      </c>
      <c r="H658" s="298">
        <f t="shared" si="10"/>
        <v>111405</v>
      </c>
    </row>
    <row r="659" spans="1:8" x14ac:dyDescent="0.2">
      <c r="A659" s="293" t="s">
        <v>851</v>
      </c>
      <c r="B659" s="488">
        <v>201</v>
      </c>
      <c r="C659" s="488">
        <v>205</v>
      </c>
      <c r="D659" s="294" t="s">
        <v>352</v>
      </c>
      <c r="E659" s="295">
        <v>14607</v>
      </c>
      <c r="F659" s="296">
        <v>4194</v>
      </c>
      <c r="G659" s="297">
        <v>160000</v>
      </c>
      <c r="H659" s="298">
        <f t="shared" si="10"/>
        <v>168000</v>
      </c>
    </row>
    <row r="660" spans="1:8" x14ac:dyDescent="0.2">
      <c r="A660" s="293" t="s">
        <v>665</v>
      </c>
      <c r="B660" s="488">
        <v>288</v>
      </c>
      <c r="C660" s="488">
        <v>288</v>
      </c>
      <c r="D660" s="294" t="s">
        <v>365</v>
      </c>
      <c r="E660" s="295">
        <v>14605</v>
      </c>
      <c r="F660" s="296">
        <v>7670</v>
      </c>
      <c r="G660" s="297">
        <v>55000</v>
      </c>
      <c r="H660" s="298">
        <f t="shared" si="10"/>
        <v>57750</v>
      </c>
    </row>
    <row r="661" spans="1:8" x14ac:dyDescent="0.2">
      <c r="A661" s="293" t="s">
        <v>852</v>
      </c>
      <c r="B661" s="488">
        <v>212</v>
      </c>
      <c r="C661" s="488">
        <v>212</v>
      </c>
      <c r="D661" s="294" t="s">
        <v>381</v>
      </c>
      <c r="E661" s="295">
        <v>14605</v>
      </c>
      <c r="F661" s="296">
        <v>3900</v>
      </c>
      <c r="G661" s="297">
        <v>1500</v>
      </c>
      <c r="H661" s="298">
        <f t="shared" si="10"/>
        <v>1575</v>
      </c>
    </row>
    <row r="662" spans="1:8" x14ac:dyDescent="0.2">
      <c r="A662" s="293" t="s">
        <v>853</v>
      </c>
      <c r="B662" s="488">
        <v>732</v>
      </c>
      <c r="C662" s="488">
        <v>734</v>
      </c>
      <c r="D662" s="294" t="s">
        <v>328</v>
      </c>
      <c r="E662" s="295">
        <v>14605</v>
      </c>
      <c r="F662" s="296">
        <v>22991</v>
      </c>
      <c r="G662" s="297">
        <v>250000</v>
      </c>
      <c r="H662" s="298">
        <f t="shared" si="10"/>
        <v>262500</v>
      </c>
    </row>
    <row r="663" spans="1:8" x14ac:dyDescent="0.2">
      <c r="A663" s="293" t="s">
        <v>395</v>
      </c>
      <c r="B663" s="488">
        <v>15</v>
      </c>
      <c r="C663" s="488">
        <v>15</v>
      </c>
      <c r="D663" s="294" t="s">
        <v>464</v>
      </c>
      <c r="E663" s="295">
        <v>14607</v>
      </c>
      <c r="F663" s="296">
        <v>3022</v>
      </c>
      <c r="G663" s="297">
        <v>107000</v>
      </c>
      <c r="H663" s="298">
        <f t="shared" si="10"/>
        <v>112350</v>
      </c>
    </row>
    <row r="664" spans="1:8" x14ac:dyDescent="0.2">
      <c r="A664" s="293" t="s">
        <v>854</v>
      </c>
      <c r="B664" s="488">
        <v>246</v>
      </c>
      <c r="C664" s="488">
        <v>246.5</v>
      </c>
      <c r="D664" s="294" t="s">
        <v>381</v>
      </c>
      <c r="E664" s="295">
        <v>14605</v>
      </c>
      <c r="F664" s="296">
        <v>3549</v>
      </c>
      <c r="G664" s="297">
        <v>31700</v>
      </c>
      <c r="H664" s="298">
        <f t="shared" si="10"/>
        <v>33285</v>
      </c>
    </row>
    <row r="665" spans="1:8" x14ac:dyDescent="0.2">
      <c r="A665" s="293" t="s">
        <v>395</v>
      </c>
      <c r="B665" s="488">
        <v>15</v>
      </c>
      <c r="C665" s="488">
        <v>15</v>
      </c>
      <c r="D665" s="294" t="s">
        <v>377</v>
      </c>
      <c r="E665" s="295">
        <v>14607</v>
      </c>
      <c r="F665" s="296">
        <v>3267</v>
      </c>
      <c r="G665" s="297">
        <v>134600</v>
      </c>
      <c r="H665" s="298">
        <f t="shared" si="10"/>
        <v>141330</v>
      </c>
    </row>
    <row r="666" spans="1:8" x14ac:dyDescent="0.2">
      <c r="A666" s="293" t="s">
        <v>855</v>
      </c>
      <c r="B666" s="488">
        <v>68</v>
      </c>
      <c r="C666" s="488">
        <v>70</v>
      </c>
      <c r="D666" s="294" t="s">
        <v>341</v>
      </c>
      <c r="E666" s="295">
        <v>14607</v>
      </c>
      <c r="F666" s="296">
        <v>5400</v>
      </c>
      <c r="G666" s="297">
        <v>72000</v>
      </c>
      <c r="H666" s="298">
        <f t="shared" si="10"/>
        <v>75600</v>
      </c>
    </row>
    <row r="667" spans="1:8" x14ac:dyDescent="0.2">
      <c r="A667" s="293" t="s">
        <v>856</v>
      </c>
      <c r="B667" s="488">
        <v>123</v>
      </c>
      <c r="C667" s="488">
        <v>125</v>
      </c>
      <c r="D667" s="294" t="s">
        <v>368</v>
      </c>
      <c r="E667" s="295">
        <v>14607</v>
      </c>
      <c r="F667" s="296">
        <v>4400</v>
      </c>
      <c r="G667" s="297">
        <v>115000</v>
      </c>
      <c r="H667" s="298">
        <f t="shared" si="10"/>
        <v>120750</v>
      </c>
    </row>
    <row r="668" spans="1:8" x14ac:dyDescent="0.2">
      <c r="A668" s="293" t="s">
        <v>609</v>
      </c>
      <c r="B668" s="488">
        <v>44</v>
      </c>
      <c r="C668" s="488">
        <v>44</v>
      </c>
      <c r="D668" s="294" t="s">
        <v>475</v>
      </c>
      <c r="E668" s="295">
        <v>14607</v>
      </c>
      <c r="F668" s="296">
        <v>1464</v>
      </c>
      <c r="G668" s="297">
        <v>76300</v>
      </c>
      <c r="H668" s="298">
        <f t="shared" si="10"/>
        <v>80115</v>
      </c>
    </row>
    <row r="669" spans="1:8" x14ac:dyDescent="0.2">
      <c r="A669" s="293" t="s">
        <v>857</v>
      </c>
      <c r="B669" s="488">
        <v>53</v>
      </c>
      <c r="C669" s="488">
        <v>53</v>
      </c>
      <c r="D669" s="294" t="s">
        <v>464</v>
      </c>
      <c r="E669" s="295">
        <v>14607</v>
      </c>
      <c r="F669" s="296">
        <v>2896</v>
      </c>
      <c r="G669" s="297">
        <v>61700</v>
      </c>
      <c r="H669" s="298">
        <f t="shared" si="10"/>
        <v>64785</v>
      </c>
    </row>
    <row r="670" spans="1:8" x14ac:dyDescent="0.2">
      <c r="A670" s="293" t="s">
        <v>656</v>
      </c>
      <c r="B670" s="488">
        <v>28</v>
      </c>
      <c r="C670" s="488">
        <v>28</v>
      </c>
      <c r="D670" s="294" t="s">
        <v>443</v>
      </c>
      <c r="E670" s="295">
        <v>14607</v>
      </c>
      <c r="F670" s="296">
        <v>2878</v>
      </c>
      <c r="G670" s="297">
        <v>98000</v>
      </c>
      <c r="H670" s="298">
        <f t="shared" si="10"/>
        <v>102900</v>
      </c>
    </row>
    <row r="671" spans="1:8" x14ac:dyDescent="0.2">
      <c r="A671" s="293" t="s">
        <v>858</v>
      </c>
      <c r="B671" s="488">
        <v>421</v>
      </c>
      <c r="C671" s="488">
        <v>421</v>
      </c>
      <c r="D671" s="294" t="s">
        <v>420</v>
      </c>
      <c r="E671" s="295">
        <v>14607</v>
      </c>
      <c r="F671" s="296">
        <v>227775</v>
      </c>
      <c r="G671" s="297">
        <v>1562400</v>
      </c>
      <c r="H671" s="298">
        <f t="shared" si="10"/>
        <v>1640520</v>
      </c>
    </row>
    <row r="672" spans="1:8" x14ac:dyDescent="0.2">
      <c r="A672" s="293" t="s">
        <v>843</v>
      </c>
      <c r="B672" s="488">
        <v>353</v>
      </c>
      <c r="C672" s="488">
        <v>353</v>
      </c>
      <c r="D672" s="294" t="s">
        <v>332</v>
      </c>
      <c r="E672" s="295">
        <v>14607</v>
      </c>
      <c r="F672" s="296">
        <v>3903</v>
      </c>
      <c r="G672" s="297">
        <v>69600</v>
      </c>
      <c r="H672" s="298">
        <f t="shared" si="10"/>
        <v>73080</v>
      </c>
    </row>
    <row r="673" spans="1:8" x14ac:dyDescent="0.2">
      <c r="A673" s="293" t="s">
        <v>732</v>
      </c>
      <c r="B673" s="488">
        <v>65</v>
      </c>
      <c r="C673" s="488">
        <v>65</v>
      </c>
      <c r="D673" s="294" t="s">
        <v>337</v>
      </c>
      <c r="E673" s="295">
        <v>14607</v>
      </c>
      <c r="F673" s="296">
        <v>4600</v>
      </c>
      <c r="G673" s="297">
        <v>156800</v>
      </c>
      <c r="H673" s="298">
        <f t="shared" si="10"/>
        <v>164640</v>
      </c>
    </row>
    <row r="674" spans="1:8" x14ac:dyDescent="0.2">
      <c r="A674" s="293" t="s">
        <v>616</v>
      </c>
      <c r="B674" s="488">
        <v>153</v>
      </c>
      <c r="C674" s="488">
        <v>153</v>
      </c>
      <c r="D674" s="294" t="s">
        <v>354</v>
      </c>
      <c r="E674" s="295">
        <v>14607</v>
      </c>
      <c r="F674" s="296">
        <v>4000</v>
      </c>
      <c r="G674" s="297">
        <v>88000</v>
      </c>
      <c r="H674" s="298">
        <f t="shared" si="10"/>
        <v>92400</v>
      </c>
    </row>
    <row r="675" spans="1:8" x14ac:dyDescent="0.2">
      <c r="A675" s="293" t="s">
        <v>621</v>
      </c>
      <c r="B675" s="488">
        <v>3</v>
      </c>
      <c r="C675" s="488">
        <v>3</v>
      </c>
      <c r="D675" s="294" t="s">
        <v>581</v>
      </c>
      <c r="E675" s="295">
        <v>14607</v>
      </c>
      <c r="F675" s="296">
        <v>2620</v>
      </c>
      <c r="G675" s="297">
        <v>2200</v>
      </c>
      <c r="H675" s="298">
        <f t="shared" si="10"/>
        <v>2310</v>
      </c>
    </row>
    <row r="676" spans="1:8" x14ac:dyDescent="0.2">
      <c r="A676" s="293" t="s">
        <v>859</v>
      </c>
      <c r="B676" s="488">
        <v>310</v>
      </c>
      <c r="C676" s="488">
        <v>5</v>
      </c>
      <c r="D676" s="294" t="s">
        <v>332</v>
      </c>
      <c r="E676" s="295">
        <v>14607</v>
      </c>
      <c r="F676" s="296">
        <v>112</v>
      </c>
      <c r="G676" s="297">
        <v>550</v>
      </c>
      <c r="H676" s="298">
        <f t="shared" si="10"/>
        <v>577.5</v>
      </c>
    </row>
    <row r="677" spans="1:8" x14ac:dyDescent="0.2">
      <c r="A677" s="293" t="s">
        <v>860</v>
      </c>
      <c r="B677" s="488">
        <v>366</v>
      </c>
      <c r="C677" s="294" t="s">
        <v>861</v>
      </c>
      <c r="D677" s="294" t="s">
        <v>332</v>
      </c>
      <c r="E677" s="295">
        <v>14607</v>
      </c>
      <c r="F677" s="296">
        <v>1099</v>
      </c>
      <c r="G677" s="297">
        <v>112000</v>
      </c>
      <c r="H677" s="298">
        <f t="shared" si="10"/>
        <v>117600</v>
      </c>
    </row>
    <row r="678" spans="1:8" x14ac:dyDescent="0.2">
      <c r="A678" s="293" t="s">
        <v>862</v>
      </c>
      <c r="B678" s="488">
        <v>770</v>
      </c>
      <c r="C678" s="488">
        <v>770</v>
      </c>
      <c r="D678" s="294" t="s">
        <v>328</v>
      </c>
      <c r="E678" s="295">
        <v>14605</v>
      </c>
      <c r="F678" s="296">
        <v>31793</v>
      </c>
      <c r="G678" s="297">
        <v>300000</v>
      </c>
      <c r="H678" s="298">
        <f t="shared" si="10"/>
        <v>315000</v>
      </c>
    </row>
    <row r="679" spans="1:8" x14ac:dyDescent="0.2">
      <c r="A679" s="293" t="s">
        <v>340</v>
      </c>
      <c r="B679" s="488">
        <v>98</v>
      </c>
      <c r="C679" s="488">
        <v>98</v>
      </c>
      <c r="D679" s="294" t="s">
        <v>368</v>
      </c>
      <c r="E679" s="295">
        <v>14607</v>
      </c>
      <c r="F679" s="296">
        <v>2190</v>
      </c>
      <c r="G679" s="297">
        <v>99000</v>
      </c>
      <c r="H679" s="298">
        <f t="shared" si="10"/>
        <v>103950</v>
      </c>
    </row>
    <row r="680" spans="1:8" x14ac:dyDescent="0.2">
      <c r="A680" s="293" t="s">
        <v>558</v>
      </c>
      <c r="B680" s="488">
        <v>42</v>
      </c>
      <c r="C680" s="488">
        <v>42</v>
      </c>
      <c r="D680" s="294" t="s">
        <v>499</v>
      </c>
      <c r="E680" s="295">
        <v>14607</v>
      </c>
      <c r="F680" s="296">
        <v>3768</v>
      </c>
      <c r="G680" s="297">
        <v>85000</v>
      </c>
      <c r="H680" s="298">
        <f t="shared" si="10"/>
        <v>89250</v>
      </c>
    </row>
    <row r="681" spans="1:8" x14ac:dyDescent="0.2">
      <c r="A681" s="293" t="s">
        <v>378</v>
      </c>
      <c r="B681" s="488">
        <v>195</v>
      </c>
      <c r="C681" s="488">
        <v>195</v>
      </c>
      <c r="D681" s="294" t="s">
        <v>348</v>
      </c>
      <c r="E681" s="295">
        <v>14607</v>
      </c>
      <c r="F681" s="296">
        <v>4480</v>
      </c>
      <c r="G681" s="297">
        <v>158000</v>
      </c>
      <c r="H681" s="298">
        <f t="shared" si="10"/>
        <v>165900</v>
      </c>
    </row>
    <row r="682" spans="1:8" x14ac:dyDescent="0.2">
      <c r="A682" s="293" t="s">
        <v>540</v>
      </c>
      <c r="B682" s="488">
        <v>147</v>
      </c>
      <c r="C682" s="488">
        <v>147</v>
      </c>
      <c r="D682" s="294" t="s">
        <v>354</v>
      </c>
      <c r="E682" s="295">
        <v>14607</v>
      </c>
      <c r="F682" s="296">
        <v>1700</v>
      </c>
      <c r="G682" s="297">
        <v>75000</v>
      </c>
      <c r="H682" s="298">
        <f t="shared" si="10"/>
        <v>78750</v>
      </c>
    </row>
    <row r="683" spans="1:8" x14ac:dyDescent="0.2">
      <c r="A683" s="293" t="s">
        <v>863</v>
      </c>
      <c r="B683" s="488">
        <v>281</v>
      </c>
      <c r="C683" s="488">
        <v>281</v>
      </c>
      <c r="D683" s="294" t="s">
        <v>348</v>
      </c>
      <c r="E683" s="295">
        <v>14607</v>
      </c>
      <c r="F683" s="296">
        <v>8250</v>
      </c>
      <c r="G683" s="297">
        <v>180000</v>
      </c>
      <c r="H683" s="298">
        <f t="shared" si="10"/>
        <v>189000</v>
      </c>
    </row>
    <row r="684" spans="1:8" x14ac:dyDescent="0.2">
      <c r="A684" s="293" t="s">
        <v>463</v>
      </c>
      <c r="B684" s="488">
        <v>33</v>
      </c>
      <c r="C684" s="488">
        <v>33</v>
      </c>
      <c r="D684" s="294" t="s">
        <v>475</v>
      </c>
      <c r="E684" s="295">
        <v>14607</v>
      </c>
      <c r="F684" s="296">
        <v>2875</v>
      </c>
      <c r="G684" s="297">
        <v>67200</v>
      </c>
      <c r="H684" s="298">
        <f t="shared" si="10"/>
        <v>70560</v>
      </c>
    </row>
    <row r="685" spans="1:8" x14ac:dyDescent="0.2">
      <c r="A685" s="293" t="s">
        <v>538</v>
      </c>
      <c r="B685" s="488">
        <v>20</v>
      </c>
      <c r="C685" s="488">
        <v>20</v>
      </c>
      <c r="D685" s="294" t="s">
        <v>460</v>
      </c>
      <c r="E685" s="295">
        <v>14607</v>
      </c>
      <c r="F685" s="296">
        <v>10480</v>
      </c>
      <c r="G685" s="297">
        <v>305000</v>
      </c>
      <c r="H685" s="298">
        <f t="shared" si="10"/>
        <v>320250</v>
      </c>
    </row>
    <row r="686" spans="1:8" x14ac:dyDescent="0.2">
      <c r="A686" s="293" t="s">
        <v>864</v>
      </c>
      <c r="B686" s="488">
        <v>70</v>
      </c>
      <c r="C686" s="488">
        <v>70.5</v>
      </c>
      <c r="D686" s="294" t="s">
        <v>354</v>
      </c>
      <c r="E686" s="295">
        <v>14607</v>
      </c>
      <c r="F686" s="296">
        <v>6188</v>
      </c>
      <c r="G686" s="297">
        <v>96000</v>
      </c>
      <c r="H686" s="298">
        <f t="shared" si="10"/>
        <v>100800</v>
      </c>
    </row>
    <row r="687" spans="1:8" x14ac:dyDescent="0.2">
      <c r="A687" s="293" t="s">
        <v>438</v>
      </c>
      <c r="B687" s="488">
        <v>66</v>
      </c>
      <c r="C687" s="488">
        <v>66</v>
      </c>
      <c r="D687" s="294" t="s">
        <v>339</v>
      </c>
      <c r="E687" s="295">
        <v>14607</v>
      </c>
      <c r="F687" s="296">
        <v>7532</v>
      </c>
      <c r="G687" s="297">
        <v>194000</v>
      </c>
      <c r="H687" s="298">
        <f t="shared" si="10"/>
        <v>203700</v>
      </c>
    </row>
    <row r="688" spans="1:8" x14ac:dyDescent="0.2">
      <c r="A688" s="293" t="s">
        <v>865</v>
      </c>
      <c r="B688" s="488">
        <v>331</v>
      </c>
      <c r="C688" s="488">
        <v>333</v>
      </c>
      <c r="D688" s="294" t="s">
        <v>330</v>
      </c>
      <c r="E688" s="295">
        <v>14607</v>
      </c>
      <c r="F688" s="296">
        <v>20824</v>
      </c>
      <c r="G688" s="297">
        <v>100000</v>
      </c>
      <c r="H688" s="298">
        <f t="shared" si="10"/>
        <v>105000</v>
      </c>
    </row>
    <row r="689" spans="1:8" x14ac:dyDescent="0.2">
      <c r="A689" s="293" t="s">
        <v>866</v>
      </c>
      <c r="B689" s="488">
        <v>234</v>
      </c>
      <c r="C689" s="488">
        <v>234</v>
      </c>
      <c r="D689" s="294" t="s">
        <v>420</v>
      </c>
      <c r="E689" s="295">
        <v>14604</v>
      </c>
      <c r="F689" s="296">
        <v>5586</v>
      </c>
      <c r="G689" s="297">
        <v>900000</v>
      </c>
      <c r="H689" s="298">
        <f t="shared" si="10"/>
        <v>945000</v>
      </c>
    </row>
    <row r="690" spans="1:8" x14ac:dyDescent="0.2">
      <c r="A690" s="293" t="s">
        <v>599</v>
      </c>
      <c r="B690" s="488">
        <v>381</v>
      </c>
      <c r="C690" s="488">
        <v>381</v>
      </c>
      <c r="D690" s="294" t="s">
        <v>420</v>
      </c>
      <c r="E690" s="295">
        <v>14607</v>
      </c>
      <c r="F690" s="296">
        <v>20100</v>
      </c>
      <c r="G690" s="297">
        <v>30000</v>
      </c>
      <c r="H690" s="298">
        <f t="shared" si="10"/>
        <v>31500</v>
      </c>
    </row>
    <row r="691" spans="1:8" x14ac:dyDescent="0.2">
      <c r="A691" s="293" t="s">
        <v>867</v>
      </c>
      <c r="B691" s="488">
        <v>84</v>
      </c>
      <c r="C691" s="488">
        <v>84</v>
      </c>
      <c r="D691" s="294" t="s">
        <v>354</v>
      </c>
      <c r="E691" s="295">
        <v>14607</v>
      </c>
      <c r="F691" s="296">
        <v>6750</v>
      </c>
      <c r="G691" s="297">
        <v>101000</v>
      </c>
      <c r="H691" s="298">
        <f t="shared" si="10"/>
        <v>106050</v>
      </c>
    </row>
    <row r="692" spans="1:8" x14ac:dyDescent="0.2">
      <c r="A692" s="293" t="s">
        <v>868</v>
      </c>
      <c r="B692" s="488">
        <v>243</v>
      </c>
      <c r="C692" s="488">
        <v>243</v>
      </c>
      <c r="D692" s="294" t="s">
        <v>330</v>
      </c>
      <c r="E692" s="295">
        <v>14607</v>
      </c>
      <c r="F692" s="296">
        <v>13482</v>
      </c>
      <c r="G692" s="297">
        <v>73700</v>
      </c>
      <c r="H692" s="298">
        <f t="shared" si="10"/>
        <v>77385</v>
      </c>
    </row>
    <row r="693" spans="1:8" x14ac:dyDescent="0.2">
      <c r="A693" s="293" t="s">
        <v>696</v>
      </c>
      <c r="B693" s="488">
        <v>4</v>
      </c>
      <c r="C693" s="488">
        <v>4</v>
      </c>
      <c r="D693" s="294" t="s">
        <v>495</v>
      </c>
      <c r="E693" s="295">
        <v>14605</v>
      </c>
      <c r="F693" s="296">
        <v>3909</v>
      </c>
      <c r="G693" s="297">
        <v>39000</v>
      </c>
      <c r="H693" s="298">
        <f t="shared" si="10"/>
        <v>40950</v>
      </c>
    </row>
    <row r="694" spans="1:8" x14ac:dyDescent="0.2">
      <c r="A694" s="293" t="s">
        <v>638</v>
      </c>
      <c r="B694" s="488">
        <v>38</v>
      </c>
      <c r="C694" s="488">
        <v>38</v>
      </c>
      <c r="D694" s="294" t="s">
        <v>410</v>
      </c>
      <c r="E694" s="295">
        <v>14605</v>
      </c>
      <c r="F694" s="296">
        <v>3926</v>
      </c>
      <c r="G694" s="297">
        <v>166000</v>
      </c>
      <c r="H694" s="298">
        <f t="shared" si="10"/>
        <v>174300</v>
      </c>
    </row>
    <row r="695" spans="1:8" x14ac:dyDescent="0.2">
      <c r="A695" s="293" t="s">
        <v>869</v>
      </c>
      <c r="B695" s="488">
        <v>480</v>
      </c>
      <c r="C695" s="488">
        <v>488</v>
      </c>
      <c r="D695" s="294" t="s">
        <v>328</v>
      </c>
      <c r="E695" s="295">
        <v>14604</v>
      </c>
      <c r="F695" s="296">
        <v>7017</v>
      </c>
      <c r="G695" s="297">
        <v>383000</v>
      </c>
      <c r="H695" s="298">
        <f t="shared" si="10"/>
        <v>402150</v>
      </c>
    </row>
    <row r="696" spans="1:8" x14ac:dyDescent="0.2">
      <c r="A696" s="293" t="s">
        <v>870</v>
      </c>
      <c r="B696" s="488">
        <v>280</v>
      </c>
      <c r="C696" s="488">
        <v>282</v>
      </c>
      <c r="D696" s="294" t="s">
        <v>381</v>
      </c>
      <c r="E696" s="295">
        <v>14605</v>
      </c>
      <c r="F696" s="296">
        <v>7818</v>
      </c>
      <c r="G696" s="297">
        <v>71600</v>
      </c>
      <c r="H696" s="298">
        <f t="shared" si="10"/>
        <v>75180</v>
      </c>
    </row>
    <row r="697" spans="1:8" x14ac:dyDescent="0.2">
      <c r="A697" s="293" t="s">
        <v>871</v>
      </c>
      <c r="B697" s="488">
        <v>10</v>
      </c>
      <c r="C697" s="488">
        <v>2</v>
      </c>
      <c r="D697" s="294" t="s">
        <v>495</v>
      </c>
      <c r="E697" s="295">
        <v>14605</v>
      </c>
      <c r="F697" s="296">
        <v>4237</v>
      </c>
      <c r="G697" s="297">
        <v>250000</v>
      </c>
      <c r="H697" s="298">
        <f t="shared" si="10"/>
        <v>262500</v>
      </c>
    </row>
    <row r="698" spans="1:8" x14ac:dyDescent="0.2">
      <c r="A698" s="293" t="s">
        <v>666</v>
      </c>
      <c r="B698" s="488">
        <v>36</v>
      </c>
      <c r="C698" s="488">
        <v>36</v>
      </c>
      <c r="D698" s="294" t="s">
        <v>377</v>
      </c>
      <c r="E698" s="295">
        <v>14607</v>
      </c>
      <c r="F698" s="296">
        <v>5452</v>
      </c>
      <c r="G698" s="297">
        <v>37500</v>
      </c>
      <c r="H698" s="298">
        <f t="shared" si="10"/>
        <v>39375</v>
      </c>
    </row>
    <row r="699" spans="1:8" x14ac:dyDescent="0.2">
      <c r="A699" s="299" t="s">
        <v>670</v>
      </c>
      <c r="B699" s="489">
        <v>8</v>
      </c>
      <c r="C699" s="489">
        <v>8</v>
      </c>
      <c r="D699" s="300" t="s">
        <v>471</v>
      </c>
      <c r="E699" s="301">
        <v>14607</v>
      </c>
      <c r="F699" s="302">
        <v>7334</v>
      </c>
      <c r="G699" s="303">
        <v>95000</v>
      </c>
      <c r="H699" s="304">
        <f t="shared" si="10"/>
        <v>99750</v>
      </c>
    </row>
    <row r="700" spans="1:8" x14ac:dyDescent="0.2">
      <c r="A700" s="293" t="s">
        <v>488</v>
      </c>
      <c r="B700" s="488">
        <v>16</v>
      </c>
      <c r="C700" s="488">
        <v>16</v>
      </c>
      <c r="D700" s="294" t="s">
        <v>671</v>
      </c>
      <c r="E700" s="295">
        <v>14607</v>
      </c>
      <c r="F700" s="296">
        <v>14450</v>
      </c>
      <c r="G700" s="297">
        <v>35000</v>
      </c>
      <c r="H700" s="298">
        <f t="shared" si="10"/>
        <v>36750</v>
      </c>
    </row>
    <row r="701" spans="1:8" x14ac:dyDescent="0.2">
      <c r="A701" s="293" t="s">
        <v>543</v>
      </c>
      <c r="B701" s="488">
        <v>30</v>
      </c>
      <c r="C701" s="488">
        <v>30</v>
      </c>
      <c r="D701" s="294" t="s">
        <v>443</v>
      </c>
      <c r="E701" s="295">
        <v>14607</v>
      </c>
      <c r="F701" s="296">
        <v>3160</v>
      </c>
      <c r="G701" s="297">
        <v>120000</v>
      </c>
      <c r="H701" s="298">
        <f t="shared" si="10"/>
        <v>126000</v>
      </c>
    </row>
    <row r="702" spans="1:8" x14ac:dyDescent="0.2">
      <c r="A702" s="293" t="s">
        <v>872</v>
      </c>
      <c r="B702" s="488">
        <v>133</v>
      </c>
      <c r="C702" s="488">
        <v>133</v>
      </c>
      <c r="D702" s="294" t="s">
        <v>418</v>
      </c>
      <c r="E702" s="295">
        <v>14605</v>
      </c>
      <c r="F702" s="296">
        <v>4290</v>
      </c>
      <c r="G702" s="297">
        <v>35000</v>
      </c>
      <c r="H702" s="298">
        <f t="shared" si="10"/>
        <v>36750</v>
      </c>
    </row>
    <row r="703" spans="1:8" x14ac:dyDescent="0.2">
      <c r="A703" s="293" t="s">
        <v>873</v>
      </c>
      <c r="B703" s="488">
        <v>731</v>
      </c>
      <c r="C703" s="488">
        <v>739</v>
      </c>
      <c r="D703" s="294" t="s">
        <v>328</v>
      </c>
      <c r="E703" s="295">
        <v>14605</v>
      </c>
      <c r="F703" s="296">
        <v>9809</v>
      </c>
      <c r="G703" s="297">
        <v>150900</v>
      </c>
      <c r="H703" s="298">
        <f t="shared" si="10"/>
        <v>158445</v>
      </c>
    </row>
    <row r="704" spans="1:8" x14ac:dyDescent="0.2">
      <c r="A704" s="293" t="s">
        <v>874</v>
      </c>
      <c r="B704" s="488">
        <v>337</v>
      </c>
      <c r="C704" s="488">
        <v>341</v>
      </c>
      <c r="D704" s="294" t="s">
        <v>332</v>
      </c>
      <c r="E704" s="295">
        <v>14607</v>
      </c>
      <c r="F704" s="296">
        <v>8041</v>
      </c>
      <c r="G704" s="297">
        <v>165000</v>
      </c>
      <c r="H704" s="298">
        <f t="shared" si="10"/>
        <v>173250</v>
      </c>
    </row>
    <row r="705" spans="1:8" x14ac:dyDescent="0.2">
      <c r="A705" s="293" t="s">
        <v>875</v>
      </c>
      <c r="B705" s="488">
        <v>287</v>
      </c>
      <c r="C705" s="488">
        <v>287</v>
      </c>
      <c r="D705" s="294" t="s">
        <v>348</v>
      </c>
      <c r="E705" s="295">
        <v>14607</v>
      </c>
      <c r="F705" s="296">
        <v>8250</v>
      </c>
      <c r="G705" s="297">
        <v>170000</v>
      </c>
      <c r="H705" s="298">
        <f t="shared" si="10"/>
        <v>178500</v>
      </c>
    </row>
    <row r="706" spans="1:8" x14ac:dyDescent="0.2">
      <c r="A706" s="293" t="s">
        <v>789</v>
      </c>
      <c r="B706" s="488">
        <v>163</v>
      </c>
      <c r="C706" s="488">
        <v>163</v>
      </c>
      <c r="D706" s="294" t="s">
        <v>365</v>
      </c>
      <c r="E706" s="295">
        <v>14605</v>
      </c>
      <c r="F706" s="296">
        <v>8078</v>
      </c>
      <c r="G706" s="297">
        <v>64000</v>
      </c>
      <c r="H706" s="298">
        <f t="shared" si="10"/>
        <v>67200</v>
      </c>
    </row>
    <row r="707" spans="1:8" x14ac:dyDescent="0.2">
      <c r="A707" s="293" t="s">
        <v>876</v>
      </c>
      <c r="B707" s="488">
        <v>395</v>
      </c>
      <c r="C707" s="294" t="s">
        <v>877</v>
      </c>
      <c r="D707" s="294" t="s">
        <v>330</v>
      </c>
      <c r="E707" s="295">
        <v>14607</v>
      </c>
      <c r="F707" s="296">
        <v>952</v>
      </c>
      <c r="G707" s="297">
        <v>108600</v>
      </c>
      <c r="H707" s="298">
        <f t="shared" si="10"/>
        <v>114030</v>
      </c>
    </row>
    <row r="708" spans="1:8" x14ac:dyDescent="0.2">
      <c r="A708" s="293" t="s">
        <v>488</v>
      </c>
      <c r="B708" s="488">
        <v>16</v>
      </c>
      <c r="C708" s="488">
        <v>16</v>
      </c>
      <c r="D708" s="294" t="s">
        <v>407</v>
      </c>
      <c r="E708" s="295">
        <v>14604</v>
      </c>
      <c r="F708" s="296">
        <v>972</v>
      </c>
      <c r="G708" s="297">
        <v>7800</v>
      </c>
      <c r="H708" s="298">
        <f t="shared" si="10"/>
        <v>8190</v>
      </c>
    </row>
    <row r="709" spans="1:8" x14ac:dyDescent="0.2">
      <c r="A709" s="293" t="s">
        <v>395</v>
      </c>
      <c r="B709" s="488">
        <v>15</v>
      </c>
      <c r="C709" s="488">
        <v>15</v>
      </c>
      <c r="D709" s="294" t="s">
        <v>361</v>
      </c>
      <c r="E709" s="295">
        <v>14607</v>
      </c>
      <c r="F709" s="296">
        <v>3610</v>
      </c>
      <c r="G709" s="297">
        <v>35000</v>
      </c>
      <c r="H709" s="298">
        <f t="shared" si="10"/>
        <v>36750</v>
      </c>
    </row>
    <row r="710" spans="1:8" x14ac:dyDescent="0.2">
      <c r="A710" s="293" t="s">
        <v>878</v>
      </c>
      <c r="B710" s="488">
        <v>10</v>
      </c>
      <c r="C710" s="488">
        <v>18</v>
      </c>
      <c r="D710" s="294" t="s">
        <v>363</v>
      </c>
      <c r="E710" s="295">
        <v>14604</v>
      </c>
      <c r="F710" s="296">
        <v>6426</v>
      </c>
      <c r="G710" s="297">
        <v>768000</v>
      </c>
      <c r="H710" s="298">
        <f t="shared" si="10"/>
        <v>806400</v>
      </c>
    </row>
    <row r="711" spans="1:8" x14ac:dyDescent="0.2">
      <c r="A711" s="293" t="s">
        <v>879</v>
      </c>
      <c r="B711" s="488">
        <v>397</v>
      </c>
      <c r="C711" s="294" t="s">
        <v>880</v>
      </c>
      <c r="D711" s="294" t="s">
        <v>330</v>
      </c>
      <c r="E711" s="295">
        <v>14607</v>
      </c>
      <c r="F711" s="296">
        <v>1173</v>
      </c>
      <c r="G711" s="297">
        <v>108800</v>
      </c>
      <c r="H711" s="298">
        <f t="shared" ref="H711:H774" si="11">G711*1.05</f>
        <v>114240</v>
      </c>
    </row>
    <row r="712" spans="1:8" x14ac:dyDescent="0.2">
      <c r="A712" s="293" t="s">
        <v>881</v>
      </c>
      <c r="B712" s="488">
        <v>458</v>
      </c>
      <c r="C712" s="488">
        <v>458</v>
      </c>
      <c r="D712" s="294" t="s">
        <v>328</v>
      </c>
      <c r="E712" s="295">
        <v>14604</v>
      </c>
      <c r="F712" s="296">
        <v>2349</v>
      </c>
      <c r="G712" s="297">
        <v>22500</v>
      </c>
      <c r="H712" s="298">
        <f t="shared" si="11"/>
        <v>23625</v>
      </c>
    </row>
    <row r="713" spans="1:8" x14ac:dyDescent="0.2">
      <c r="A713" s="293" t="s">
        <v>882</v>
      </c>
      <c r="B713" s="488">
        <v>255</v>
      </c>
      <c r="C713" s="488">
        <v>255</v>
      </c>
      <c r="D713" s="294" t="s">
        <v>420</v>
      </c>
      <c r="E713" s="295">
        <v>14604</v>
      </c>
      <c r="F713" s="296">
        <v>57691</v>
      </c>
      <c r="G713" s="297">
        <v>6633000</v>
      </c>
      <c r="H713" s="298">
        <f t="shared" si="11"/>
        <v>6964650</v>
      </c>
    </row>
    <row r="714" spans="1:8" x14ac:dyDescent="0.2">
      <c r="A714" s="293" t="s">
        <v>883</v>
      </c>
      <c r="B714" s="488">
        <v>186</v>
      </c>
      <c r="C714" s="488">
        <v>190</v>
      </c>
      <c r="D714" s="294" t="s">
        <v>420</v>
      </c>
      <c r="E714" s="295">
        <v>14604</v>
      </c>
      <c r="F714" s="296">
        <v>3653</v>
      </c>
      <c r="G714" s="297">
        <v>65000</v>
      </c>
      <c r="H714" s="298">
        <f t="shared" si="11"/>
        <v>68250</v>
      </c>
    </row>
    <row r="715" spans="1:8" x14ac:dyDescent="0.2">
      <c r="A715" s="293" t="s">
        <v>395</v>
      </c>
      <c r="B715" s="488">
        <v>15</v>
      </c>
      <c r="C715" s="488">
        <v>15</v>
      </c>
      <c r="D715" s="294" t="s">
        <v>849</v>
      </c>
      <c r="E715" s="295">
        <v>14607</v>
      </c>
      <c r="F715" s="296">
        <v>14628</v>
      </c>
      <c r="G715" s="297">
        <v>950000</v>
      </c>
      <c r="H715" s="298">
        <f t="shared" si="11"/>
        <v>997500</v>
      </c>
    </row>
    <row r="716" spans="1:8" x14ac:dyDescent="0.2">
      <c r="A716" s="293" t="s">
        <v>884</v>
      </c>
      <c r="B716" s="488">
        <v>389</v>
      </c>
      <c r="C716" s="488">
        <v>389</v>
      </c>
      <c r="D716" s="294" t="s">
        <v>328</v>
      </c>
      <c r="E716" s="295">
        <v>14604</v>
      </c>
      <c r="F716" s="296">
        <v>22482</v>
      </c>
      <c r="G716" s="297">
        <v>3480000</v>
      </c>
      <c r="H716" s="298">
        <f t="shared" si="11"/>
        <v>3654000</v>
      </c>
    </row>
    <row r="717" spans="1:8" x14ac:dyDescent="0.2">
      <c r="A717" s="293" t="s">
        <v>885</v>
      </c>
      <c r="B717" s="488">
        <v>87</v>
      </c>
      <c r="C717" s="488">
        <v>87</v>
      </c>
      <c r="D717" s="294" t="s">
        <v>361</v>
      </c>
      <c r="E717" s="295">
        <v>14607</v>
      </c>
      <c r="F717" s="296">
        <v>3984</v>
      </c>
      <c r="G717" s="297">
        <v>80000</v>
      </c>
      <c r="H717" s="298">
        <f t="shared" si="11"/>
        <v>84000</v>
      </c>
    </row>
    <row r="718" spans="1:8" x14ac:dyDescent="0.2">
      <c r="A718" s="293" t="s">
        <v>886</v>
      </c>
      <c r="B718" s="488">
        <v>298</v>
      </c>
      <c r="C718" s="488">
        <v>298</v>
      </c>
      <c r="D718" s="294" t="s">
        <v>365</v>
      </c>
      <c r="E718" s="295">
        <v>14605</v>
      </c>
      <c r="F718" s="296">
        <v>3380</v>
      </c>
      <c r="G718" s="297">
        <v>1500</v>
      </c>
      <c r="H718" s="298">
        <f t="shared" si="11"/>
        <v>1575</v>
      </c>
    </row>
    <row r="719" spans="1:8" x14ac:dyDescent="0.2">
      <c r="A719" s="293" t="s">
        <v>549</v>
      </c>
      <c r="B719" s="488">
        <v>475</v>
      </c>
      <c r="C719" s="488">
        <v>475</v>
      </c>
      <c r="D719" s="294" t="s">
        <v>328</v>
      </c>
      <c r="E719" s="295">
        <v>14604</v>
      </c>
      <c r="F719" s="296">
        <v>102809</v>
      </c>
      <c r="G719" s="297">
        <v>11487200</v>
      </c>
      <c r="H719" s="298">
        <f t="shared" si="11"/>
        <v>12061560</v>
      </c>
    </row>
    <row r="720" spans="1:8" x14ac:dyDescent="0.2">
      <c r="A720" s="293" t="s">
        <v>887</v>
      </c>
      <c r="B720" s="488">
        <v>435</v>
      </c>
      <c r="C720" s="488">
        <v>435</v>
      </c>
      <c r="D720" s="294" t="s">
        <v>415</v>
      </c>
      <c r="E720" s="295">
        <v>14607</v>
      </c>
      <c r="F720" s="296">
        <v>1667</v>
      </c>
      <c r="G720" s="297">
        <v>4000</v>
      </c>
      <c r="H720" s="298">
        <f t="shared" si="11"/>
        <v>4200</v>
      </c>
    </row>
    <row r="721" spans="1:8" x14ac:dyDescent="0.2">
      <c r="A721" s="293" t="s">
        <v>888</v>
      </c>
      <c r="B721" s="488">
        <v>10</v>
      </c>
      <c r="C721" s="488">
        <v>8</v>
      </c>
      <c r="D721" s="294" t="s">
        <v>495</v>
      </c>
      <c r="E721" s="295">
        <v>14605</v>
      </c>
      <c r="F721" s="296">
        <v>3458</v>
      </c>
      <c r="G721" s="297">
        <v>274300</v>
      </c>
      <c r="H721" s="298">
        <f t="shared" si="11"/>
        <v>288015</v>
      </c>
    </row>
    <row r="722" spans="1:8" x14ac:dyDescent="0.2">
      <c r="A722" s="293" t="s">
        <v>889</v>
      </c>
      <c r="B722" s="488">
        <v>10</v>
      </c>
      <c r="C722" s="488">
        <v>5</v>
      </c>
      <c r="D722" s="294" t="s">
        <v>495</v>
      </c>
      <c r="E722" s="295">
        <v>14605</v>
      </c>
      <c r="F722" s="296">
        <v>2292</v>
      </c>
      <c r="G722" s="297">
        <v>192000</v>
      </c>
      <c r="H722" s="298">
        <f t="shared" si="11"/>
        <v>201600</v>
      </c>
    </row>
    <row r="723" spans="1:8" x14ac:dyDescent="0.2">
      <c r="A723" s="293" t="s">
        <v>554</v>
      </c>
      <c r="B723" s="488">
        <v>48</v>
      </c>
      <c r="C723" s="488">
        <v>48</v>
      </c>
      <c r="D723" s="294" t="s">
        <v>337</v>
      </c>
      <c r="E723" s="295">
        <v>14607</v>
      </c>
      <c r="F723" s="296">
        <v>33481</v>
      </c>
      <c r="G723" s="297">
        <v>108400</v>
      </c>
      <c r="H723" s="298">
        <f t="shared" si="11"/>
        <v>113820</v>
      </c>
    </row>
    <row r="724" spans="1:8" x14ac:dyDescent="0.2">
      <c r="A724" s="293" t="s">
        <v>890</v>
      </c>
      <c r="B724" s="488">
        <v>665</v>
      </c>
      <c r="C724" s="488">
        <v>665</v>
      </c>
      <c r="D724" s="294" t="s">
        <v>394</v>
      </c>
      <c r="E724" s="295">
        <v>14607</v>
      </c>
      <c r="F724" s="296">
        <v>7844</v>
      </c>
      <c r="G724" s="297">
        <v>110000</v>
      </c>
      <c r="H724" s="298">
        <f t="shared" si="11"/>
        <v>115500</v>
      </c>
    </row>
    <row r="725" spans="1:8" x14ac:dyDescent="0.2">
      <c r="A725" s="293" t="s">
        <v>710</v>
      </c>
      <c r="B725" s="488">
        <v>295</v>
      </c>
      <c r="C725" s="488">
        <v>295</v>
      </c>
      <c r="D725" s="294" t="s">
        <v>330</v>
      </c>
      <c r="E725" s="295">
        <v>14607</v>
      </c>
      <c r="F725" s="296">
        <v>4712</v>
      </c>
      <c r="G725" s="297">
        <v>200000</v>
      </c>
      <c r="H725" s="298">
        <f t="shared" si="11"/>
        <v>210000</v>
      </c>
    </row>
    <row r="726" spans="1:8" x14ac:dyDescent="0.2">
      <c r="A726" s="293" t="s">
        <v>670</v>
      </c>
      <c r="B726" s="488">
        <v>8</v>
      </c>
      <c r="C726" s="488">
        <v>8</v>
      </c>
      <c r="D726" s="294" t="s">
        <v>460</v>
      </c>
      <c r="E726" s="295">
        <v>14607</v>
      </c>
      <c r="F726" s="296">
        <v>9329</v>
      </c>
      <c r="G726" s="297">
        <v>365000</v>
      </c>
      <c r="H726" s="298">
        <f t="shared" si="11"/>
        <v>383250</v>
      </c>
    </row>
    <row r="727" spans="1:8" x14ac:dyDescent="0.2">
      <c r="A727" s="293" t="s">
        <v>891</v>
      </c>
      <c r="B727" s="488">
        <v>321</v>
      </c>
      <c r="C727" s="488">
        <v>321</v>
      </c>
      <c r="D727" s="294" t="s">
        <v>420</v>
      </c>
      <c r="E727" s="295">
        <v>14604</v>
      </c>
      <c r="F727" s="296">
        <v>132858</v>
      </c>
      <c r="G727" s="297">
        <v>2957800</v>
      </c>
      <c r="H727" s="298">
        <f t="shared" si="11"/>
        <v>3105690</v>
      </c>
    </row>
    <row r="728" spans="1:8" x14ac:dyDescent="0.2">
      <c r="A728" s="293" t="s">
        <v>892</v>
      </c>
      <c r="B728" s="488">
        <v>22</v>
      </c>
      <c r="C728" s="488">
        <v>24</v>
      </c>
      <c r="D728" s="294" t="s">
        <v>350</v>
      </c>
      <c r="E728" s="295">
        <v>14607</v>
      </c>
      <c r="F728" s="296">
        <v>4087</v>
      </c>
      <c r="G728" s="297">
        <v>97000</v>
      </c>
      <c r="H728" s="298">
        <f t="shared" si="11"/>
        <v>101850</v>
      </c>
    </row>
    <row r="729" spans="1:8" x14ac:dyDescent="0.2">
      <c r="A729" s="293" t="s">
        <v>893</v>
      </c>
      <c r="B729" s="488">
        <v>379</v>
      </c>
      <c r="C729" s="488">
        <v>379</v>
      </c>
      <c r="D729" s="294" t="s">
        <v>415</v>
      </c>
      <c r="E729" s="295">
        <v>14607</v>
      </c>
      <c r="F729" s="296">
        <v>1700</v>
      </c>
      <c r="G729" s="297">
        <v>105000</v>
      </c>
      <c r="H729" s="298">
        <f t="shared" si="11"/>
        <v>110250</v>
      </c>
    </row>
    <row r="730" spans="1:8" x14ac:dyDescent="0.2">
      <c r="A730" s="293" t="s">
        <v>375</v>
      </c>
      <c r="B730" s="488">
        <v>173</v>
      </c>
      <c r="C730" s="488">
        <v>173</v>
      </c>
      <c r="D730" s="294" t="s">
        <v>348</v>
      </c>
      <c r="E730" s="295">
        <v>14607</v>
      </c>
      <c r="F730" s="296">
        <v>4480</v>
      </c>
      <c r="G730" s="297">
        <v>157000</v>
      </c>
      <c r="H730" s="298">
        <f t="shared" si="11"/>
        <v>164850</v>
      </c>
    </row>
    <row r="731" spans="1:8" x14ac:dyDescent="0.2">
      <c r="A731" s="293" t="s">
        <v>894</v>
      </c>
      <c r="B731" s="488">
        <v>256</v>
      </c>
      <c r="C731" s="488">
        <v>256</v>
      </c>
      <c r="D731" s="294" t="s">
        <v>330</v>
      </c>
      <c r="E731" s="295">
        <v>14607</v>
      </c>
      <c r="F731" s="296">
        <v>9963</v>
      </c>
      <c r="G731" s="297">
        <v>165000</v>
      </c>
      <c r="H731" s="298">
        <f t="shared" si="11"/>
        <v>173250</v>
      </c>
    </row>
    <row r="732" spans="1:8" x14ac:dyDescent="0.2">
      <c r="A732" s="293" t="s">
        <v>895</v>
      </c>
      <c r="B732" s="488">
        <v>123</v>
      </c>
      <c r="C732" s="488">
        <v>123</v>
      </c>
      <c r="D732" s="294" t="s">
        <v>418</v>
      </c>
      <c r="E732" s="295">
        <v>14605</v>
      </c>
      <c r="F732" s="296">
        <v>6448</v>
      </c>
      <c r="G732" s="297">
        <v>24500</v>
      </c>
      <c r="H732" s="298">
        <f t="shared" si="11"/>
        <v>25725</v>
      </c>
    </row>
    <row r="733" spans="1:8" x14ac:dyDescent="0.2">
      <c r="A733" s="293" t="s">
        <v>458</v>
      </c>
      <c r="B733" s="488">
        <v>39</v>
      </c>
      <c r="C733" s="488">
        <v>39</v>
      </c>
      <c r="D733" s="294" t="s">
        <v>377</v>
      </c>
      <c r="E733" s="295">
        <v>14607</v>
      </c>
      <c r="F733" s="296">
        <v>3467</v>
      </c>
      <c r="G733" s="297">
        <v>96800</v>
      </c>
      <c r="H733" s="298">
        <f t="shared" si="11"/>
        <v>101640</v>
      </c>
    </row>
    <row r="734" spans="1:8" x14ac:dyDescent="0.2">
      <c r="A734" s="293" t="s">
        <v>896</v>
      </c>
      <c r="B734" s="488">
        <v>424</v>
      </c>
      <c r="C734" s="488">
        <v>426</v>
      </c>
      <c r="D734" s="294" t="s">
        <v>415</v>
      </c>
      <c r="E734" s="295">
        <v>14607</v>
      </c>
      <c r="F734" s="296">
        <v>11442</v>
      </c>
      <c r="G734" s="297">
        <v>200000</v>
      </c>
      <c r="H734" s="298">
        <f t="shared" si="11"/>
        <v>210000</v>
      </c>
    </row>
    <row r="735" spans="1:8" x14ac:dyDescent="0.2">
      <c r="A735" s="293" t="s">
        <v>897</v>
      </c>
      <c r="B735" s="488">
        <v>146</v>
      </c>
      <c r="C735" s="488">
        <v>146</v>
      </c>
      <c r="D735" s="294" t="s">
        <v>341</v>
      </c>
      <c r="E735" s="295">
        <v>14605</v>
      </c>
      <c r="F735" s="296">
        <v>6628</v>
      </c>
      <c r="G735" s="297">
        <v>16300</v>
      </c>
      <c r="H735" s="298">
        <f t="shared" si="11"/>
        <v>17115</v>
      </c>
    </row>
    <row r="736" spans="1:8" x14ac:dyDescent="0.2">
      <c r="A736" s="293" t="s">
        <v>498</v>
      </c>
      <c r="B736" s="488">
        <v>22</v>
      </c>
      <c r="C736" s="488">
        <v>22</v>
      </c>
      <c r="D736" s="294" t="s">
        <v>339</v>
      </c>
      <c r="E736" s="295">
        <v>14607</v>
      </c>
      <c r="F736" s="296">
        <v>5363</v>
      </c>
      <c r="G736" s="297">
        <v>162000</v>
      </c>
      <c r="H736" s="298">
        <f t="shared" si="11"/>
        <v>170100</v>
      </c>
    </row>
    <row r="737" spans="1:8" x14ac:dyDescent="0.2">
      <c r="A737" s="293" t="s">
        <v>898</v>
      </c>
      <c r="B737" s="488">
        <v>171</v>
      </c>
      <c r="C737" s="488">
        <v>183</v>
      </c>
      <c r="D737" s="294" t="s">
        <v>352</v>
      </c>
      <c r="E737" s="295">
        <v>14607</v>
      </c>
      <c r="F737" s="296">
        <v>4375</v>
      </c>
      <c r="G737" s="297">
        <v>134700</v>
      </c>
      <c r="H737" s="298">
        <f t="shared" si="11"/>
        <v>141435</v>
      </c>
    </row>
    <row r="738" spans="1:8" x14ac:dyDescent="0.2">
      <c r="A738" s="293" t="s">
        <v>899</v>
      </c>
      <c r="B738" s="488">
        <v>259</v>
      </c>
      <c r="C738" s="488">
        <v>259</v>
      </c>
      <c r="D738" s="294" t="s">
        <v>330</v>
      </c>
      <c r="E738" s="295">
        <v>14607</v>
      </c>
      <c r="F738" s="296">
        <v>24885</v>
      </c>
      <c r="G738" s="297">
        <v>430000</v>
      </c>
      <c r="H738" s="298">
        <f t="shared" si="11"/>
        <v>451500</v>
      </c>
    </row>
    <row r="739" spans="1:8" x14ac:dyDescent="0.2">
      <c r="A739" s="293" t="s">
        <v>900</v>
      </c>
      <c r="B739" s="488">
        <v>266</v>
      </c>
      <c r="C739" s="488">
        <v>266</v>
      </c>
      <c r="D739" s="294" t="s">
        <v>330</v>
      </c>
      <c r="E739" s="295">
        <v>14607</v>
      </c>
      <c r="F739" s="296">
        <v>6903</v>
      </c>
      <c r="G739" s="297">
        <v>148000</v>
      </c>
      <c r="H739" s="298">
        <f t="shared" si="11"/>
        <v>155400</v>
      </c>
    </row>
    <row r="740" spans="1:8" x14ac:dyDescent="0.2">
      <c r="A740" s="293" t="s">
        <v>566</v>
      </c>
      <c r="B740" s="488">
        <v>141</v>
      </c>
      <c r="C740" s="488">
        <v>141</v>
      </c>
      <c r="D740" s="294" t="s">
        <v>365</v>
      </c>
      <c r="E740" s="295">
        <v>14605</v>
      </c>
      <c r="F740" s="296">
        <v>4039</v>
      </c>
      <c r="G740" s="297">
        <v>33000</v>
      </c>
      <c r="H740" s="298">
        <f t="shared" si="11"/>
        <v>34650</v>
      </c>
    </row>
    <row r="741" spans="1:8" x14ac:dyDescent="0.2">
      <c r="A741" s="293" t="s">
        <v>593</v>
      </c>
      <c r="B741" s="488">
        <v>17</v>
      </c>
      <c r="C741" s="488">
        <v>19</v>
      </c>
      <c r="D741" s="294" t="s">
        <v>361</v>
      </c>
      <c r="E741" s="295">
        <v>14607</v>
      </c>
      <c r="F741" s="296">
        <v>3612</v>
      </c>
      <c r="G741" s="297">
        <v>84000</v>
      </c>
      <c r="H741" s="298">
        <f t="shared" si="11"/>
        <v>88200</v>
      </c>
    </row>
    <row r="742" spans="1:8" x14ac:dyDescent="0.2">
      <c r="A742" s="293" t="s">
        <v>901</v>
      </c>
      <c r="B742" s="488">
        <v>9</v>
      </c>
      <c r="C742" s="488">
        <v>9.5</v>
      </c>
      <c r="D742" s="294" t="s">
        <v>373</v>
      </c>
      <c r="E742" s="295">
        <v>14607</v>
      </c>
      <c r="F742" s="296">
        <v>2478</v>
      </c>
      <c r="G742" s="297">
        <v>77000</v>
      </c>
      <c r="H742" s="298">
        <f t="shared" si="11"/>
        <v>80850</v>
      </c>
    </row>
    <row r="743" spans="1:8" x14ac:dyDescent="0.2">
      <c r="A743" s="293" t="s">
        <v>559</v>
      </c>
      <c r="B743" s="488">
        <v>89</v>
      </c>
      <c r="C743" s="488">
        <v>89</v>
      </c>
      <c r="D743" s="294" t="s">
        <v>377</v>
      </c>
      <c r="E743" s="295">
        <v>14607</v>
      </c>
      <c r="F743" s="296">
        <v>2666</v>
      </c>
      <c r="G743" s="297">
        <v>110000</v>
      </c>
      <c r="H743" s="298">
        <f t="shared" si="11"/>
        <v>115500</v>
      </c>
    </row>
    <row r="744" spans="1:8" x14ac:dyDescent="0.2">
      <c r="A744" s="293" t="s">
        <v>340</v>
      </c>
      <c r="B744" s="488">
        <v>98</v>
      </c>
      <c r="C744" s="488">
        <v>98</v>
      </c>
      <c r="D744" s="294" t="s">
        <v>361</v>
      </c>
      <c r="E744" s="295">
        <v>14607</v>
      </c>
      <c r="F744" s="296">
        <v>1342</v>
      </c>
      <c r="G744" s="297">
        <v>47500</v>
      </c>
      <c r="H744" s="298">
        <f t="shared" si="11"/>
        <v>49875</v>
      </c>
    </row>
    <row r="745" spans="1:8" x14ac:dyDescent="0.2">
      <c r="A745" s="293" t="s">
        <v>902</v>
      </c>
      <c r="B745" s="488">
        <v>264</v>
      </c>
      <c r="C745" s="488">
        <v>264</v>
      </c>
      <c r="D745" s="294" t="s">
        <v>330</v>
      </c>
      <c r="E745" s="295">
        <v>14607</v>
      </c>
      <c r="F745" s="296">
        <v>5879</v>
      </c>
      <c r="G745" s="297">
        <v>195000</v>
      </c>
      <c r="H745" s="298">
        <f t="shared" si="11"/>
        <v>204750</v>
      </c>
    </row>
    <row r="746" spans="1:8" x14ac:dyDescent="0.2">
      <c r="A746" s="293" t="s">
        <v>903</v>
      </c>
      <c r="B746" s="488">
        <v>158</v>
      </c>
      <c r="C746" s="488">
        <v>162</v>
      </c>
      <c r="D746" s="294" t="s">
        <v>352</v>
      </c>
      <c r="E746" s="295">
        <v>14607</v>
      </c>
      <c r="F746" s="296">
        <v>10980</v>
      </c>
      <c r="G746" s="297">
        <v>328000</v>
      </c>
      <c r="H746" s="298">
        <f t="shared" si="11"/>
        <v>344400</v>
      </c>
    </row>
    <row r="747" spans="1:8" x14ac:dyDescent="0.2">
      <c r="A747" s="293" t="s">
        <v>789</v>
      </c>
      <c r="B747" s="488">
        <v>163</v>
      </c>
      <c r="C747" s="488">
        <v>163</v>
      </c>
      <c r="D747" s="294" t="s">
        <v>368</v>
      </c>
      <c r="E747" s="295">
        <v>14607</v>
      </c>
      <c r="F747" s="296">
        <v>4000</v>
      </c>
      <c r="G747" s="297">
        <v>131300</v>
      </c>
      <c r="H747" s="298">
        <f t="shared" si="11"/>
        <v>137865</v>
      </c>
    </row>
    <row r="748" spans="1:8" x14ac:dyDescent="0.2">
      <c r="A748" s="293" t="s">
        <v>867</v>
      </c>
      <c r="B748" s="488">
        <v>84</v>
      </c>
      <c r="C748" s="488">
        <v>84</v>
      </c>
      <c r="D748" s="294" t="s">
        <v>361</v>
      </c>
      <c r="E748" s="295">
        <v>14607</v>
      </c>
      <c r="F748" s="296">
        <v>3639</v>
      </c>
      <c r="G748" s="297">
        <v>70000</v>
      </c>
      <c r="H748" s="298">
        <f t="shared" si="11"/>
        <v>73500</v>
      </c>
    </row>
    <row r="749" spans="1:8" x14ac:dyDescent="0.2">
      <c r="A749" s="293" t="s">
        <v>904</v>
      </c>
      <c r="B749" s="488">
        <v>54</v>
      </c>
      <c r="C749" s="488">
        <v>60</v>
      </c>
      <c r="D749" s="294" t="s">
        <v>415</v>
      </c>
      <c r="E749" s="295">
        <v>14607</v>
      </c>
      <c r="F749" s="296">
        <v>6000</v>
      </c>
      <c r="G749" s="297">
        <v>75000</v>
      </c>
      <c r="H749" s="298">
        <f t="shared" si="11"/>
        <v>78750</v>
      </c>
    </row>
    <row r="750" spans="1:8" x14ac:dyDescent="0.2">
      <c r="A750" s="293" t="s">
        <v>398</v>
      </c>
      <c r="B750" s="488">
        <v>169</v>
      </c>
      <c r="C750" s="488">
        <v>169</v>
      </c>
      <c r="D750" s="294" t="s">
        <v>348</v>
      </c>
      <c r="E750" s="295">
        <v>14607</v>
      </c>
      <c r="F750" s="296">
        <v>4480</v>
      </c>
      <c r="G750" s="297">
        <v>100000</v>
      </c>
      <c r="H750" s="298">
        <f t="shared" si="11"/>
        <v>105000</v>
      </c>
    </row>
    <row r="751" spans="1:8" x14ac:dyDescent="0.2">
      <c r="A751" s="293" t="s">
        <v>867</v>
      </c>
      <c r="B751" s="488">
        <v>84</v>
      </c>
      <c r="C751" s="488">
        <v>84</v>
      </c>
      <c r="D751" s="294" t="s">
        <v>339</v>
      </c>
      <c r="E751" s="295">
        <v>14607</v>
      </c>
      <c r="F751" s="296">
        <v>5400</v>
      </c>
      <c r="G751" s="297">
        <v>160000</v>
      </c>
      <c r="H751" s="298">
        <f t="shared" si="11"/>
        <v>168000</v>
      </c>
    </row>
    <row r="752" spans="1:8" x14ac:dyDescent="0.2">
      <c r="A752" s="293" t="s">
        <v>490</v>
      </c>
      <c r="B752" s="488">
        <v>18</v>
      </c>
      <c r="C752" s="488">
        <v>18</v>
      </c>
      <c r="D752" s="294" t="s">
        <v>350</v>
      </c>
      <c r="E752" s="295">
        <v>14607</v>
      </c>
      <c r="F752" s="296">
        <v>2557</v>
      </c>
      <c r="G752" s="297">
        <v>100000</v>
      </c>
      <c r="H752" s="298">
        <f t="shared" si="11"/>
        <v>105000</v>
      </c>
    </row>
    <row r="753" spans="1:8" x14ac:dyDescent="0.2">
      <c r="A753" s="293" t="s">
        <v>905</v>
      </c>
      <c r="B753" s="488">
        <v>179</v>
      </c>
      <c r="C753" s="488">
        <v>179</v>
      </c>
      <c r="D753" s="294" t="s">
        <v>348</v>
      </c>
      <c r="E753" s="295">
        <v>14607</v>
      </c>
      <c r="F753" s="296">
        <v>5414</v>
      </c>
      <c r="G753" s="297">
        <v>180000</v>
      </c>
      <c r="H753" s="298">
        <f t="shared" si="11"/>
        <v>189000</v>
      </c>
    </row>
    <row r="754" spans="1:8" x14ac:dyDescent="0.2">
      <c r="A754" s="293" t="s">
        <v>593</v>
      </c>
      <c r="B754" s="488">
        <v>17</v>
      </c>
      <c r="C754" s="488">
        <v>19</v>
      </c>
      <c r="D754" s="294" t="s">
        <v>396</v>
      </c>
      <c r="E754" s="295">
        <v>14607</v>
      </c>
      <c r="F754" s="296">
        <v>7850</v>
      </c>
      <c r="G754" s="297">
        <v>55000</v>
      </c>
      <c r="H754" s="298">
        <f t="shared" si="11"/>
        <v>57750</v>
      </c>
    </row>
    <row r="755" spans="1:8" x14ac:dyDescent="0.2">
      <c r="A755" s="293" t="s">
        <v>906</v>
      </c>
      <c r="B755" s="488">
        <v>330</v>
      </c>
      <c r="C755" s="488">
        <v>334</v>
      </c>
      <c r="D755" s="294" t="s">
        <v>420</v>
      </c>
      <c r="E755" s="295">
        <v>14604</v>
      </c>
      <c r="F755" s="296">
        <v>2499</v>
      </c>
      <c r="G755" s="297">
        <v>130000</v>
      </c>
      <c r="H755" s="298">
        <f t="shared" si="11"/>
        <v>136500</v>
      </c>
    </row>
    <row r="756" spans="1:8" x14ac:dyDescent="0.2">
      <c r="A756" s="293" t="s">
        <v>594</v>
      </c>
      <c r="B756" s="488">
        <v>52</v>
      </c>
      <c r="C756" s="488">
        <v>52</v>
      </c>
      <c r="D756" s="294" t="s">
        <v>455</v>
      </c>
      <c r="E756" s="295">
        <v>14607</v>
      </c>
      <c r="F756" s="296">
        <v>2849</v>
      </c>
      <c r="G756" s="297">
        <v>18000</v>
      </c>
      <c r="H756" s="298">
        <f t="shared" si="11"/>
        <v>18900</v>
      </c>
    </row>
    <row r="757" spans="1:8" x14ac:dyDescent="0.2">
      <c r="A757" s="293" t="s">
        <v>370</v>
      </c>
      <c r="B757" s="488">
        <v>75</v>
      </c>
      <c r="C757" s="488">
        <v>75</v>
      </c>
      <c r="D757" s="294" t="s">
        <v>348</v>
      </c>
      <c r="E757" s="295">
        <v>14607</v>
      </c>
      <c r="F757" s="296">
        <v>9364</v>
      </c>
      <c r="G757" s="297">
        <v>31000</v>
      </c>
      <c r="H757" s="298">
        <f t="shared" si="11"/>
        <v>32550</v>
      </c>
    </row>
    <row r="758" spans="1:8" x14ac:dyDescent="0.2">
      <c r="A758" s="293" t="s">
        <v>444</v>
      </c>
      <c r="B758" s="488">
        <v>31</v>
      </c>
      <c r="C758" s="488">
        <v>31</v>
      </c>
      <c r="D758" s="294" t="s">
        <v>339</v>
      </c>
      <c r="E758" s="295">
        <v>14607</v>
      </c>
      <c r="F758" s="296">
        <v>5750</v>
      </c>
      <c r="G758" s="297">
        <v>158000</v>
      </c>
      <c r="H758" s="298">
        <f t="shared" si="11"/>
        <v>165900</v>
      </c>
    </row>
    <row r="759" spans="1:8" x14ac:dyDescent="0.2">
      <c r="A759" s="293" t="s">
        <v>907</v>
      </c>
      <c r="B759" s="488">
        <v>436</v>
      </c>
      <c r="C759" s="488">
        <v>436</v>
      </c>
      <c r="D759" s="294" t="s">
        <v>352</v>
      </c>
      <c r="E759" s="295">
        <v>14607</v>
      </c>
      <c r="F759" s="296">
        <v>7700</v>
      </c>
      <c r="G759" s="297">
        <v>270300</v>
      </c>
      <c r="H759" s="298">
        <f t="shared" si="11"/>
        <v>283815</v>
      </c>
    </row>
    <row r="760" spans="1:8" x14ac:dyDescent="0.2">
      <c r="A760" s="293" t="s">
        <v>764</v>
      </c>
      <c r="B760" s="488">
        <v>74</v>
      </c>
      <c r="C760" s="488">
        <v>74</v>
      </c>
      <c r="D760" s="294" t="s">
        <v>361</v>
      </c>
      <c r="E760" s="295">
        <v>14607</v>
      </c>
      <c r="F760" s="296">
        <v>2400</v>
      </c>
      <c r="G760" s="297">
        <v>165000</v>
      </c>
      <c r="H760" s="298">
        <f t="shared" si="11"/>
        <v>173250</v>
      </c>
    </row>
    <row r="761" spans="1:8" x14ac:dyDescent="0.2">
      <c r="A761" s="293" t="s">
        <v>908</v>
      </c>
      <c r="B761" s="488">
        <v>240</v>
      </c>
      <c r="C761" s="488">
        <v>246</v>
      </c>
      <c r="D761" s="294" t="s">
        <v>352</v>
      </c>
      <c r="E761" s="295">
        <v>14607</v>
      </c>
      <c r="F761" s="296">
        <v>5779</v>
      </c>
      <c r="G761" s="297">
        <v>26000</v>
      </c>
      <c r="H761" s="298">
        <f t="shared" si="11"/>
        <v>27300</v>
      </c>
    </row>
    <row r="762" spans="1:8" x14ac:dyDescent="0.2">
      <c r="A762" s="299" t="s">
        <v>909</v>
      </c>
      <c r="B762" s="489">
        <v>9</v>
      </c>
      <c r="C762" s="489">
        <v>11</v>
      </c>
      <c r="D762" s="300" t="s">
        <v>464</v>
      </c>
      <c r="E762" s="301">
        <v>14607</v>
      </c>
      <c r="F762" s="302">
        <v>2763</v>
      </c>
      <c r="G762" s="303">
        <v>102100</v>
      </c>
      <c r="H762" s="304">
        <f t="shared" si="11"/>
        <v>107205</v>
      </c>
    </row>
    <row r="763" spans="1:8" x14ac:dyDescent="0.2">
      <c r="A763" s="293" t="s">
        <v>910</v>
      </c>
      <c r="B763" s="488">
        <v>73</v>
      </c>
      <c r="C763" s="488">
        <v>73</v>
      </c>
      <c r="D763" s="294" t="s">
        <v>332</v>
      </c>
      <c r="E763" s="295">
        <v>14605</v>
      </c>
      <c r="F763" s="296">
        <v>3322</v>
      </c>
      <c r="G763" s="297">
        <v>85000</v>
      </c>
      <c r="H763" s="298">
        <f t="shared" si="11"/>
        <v>89250</v>
      </c>
    </row>
    <row r="764" spans="1:8" x14ac:dyDescent="0.2">
      <c r="A764" s="293" t="s">
        <v>911</v>
      </c>
      <c r="B764" s="488">
        <v>700</v>
      </c>
      <c r="C764" s="488">
        <v>700</v>
      </c>
      <c r="D764" s="294" t="s">
        <v>328</v>
      </c>
      <c r="E764" s="295">
        <v>14605</v>
      </c>
      <c r="F764" s="296">
        <v>7828</v>
      </c>
      <c r="G764" s="297">
        <v>49000</v>
      </c>
      <c r="H764" s="298">
        <f t="shared" si="11"/>
        <v>51450</v>
      </c>
    </row>
    <row r="765" spans="1:8" x14ac:dyDescent="0.2">
      <c r="A765" s="293" t="s">
        <v>912</v>
      </c>
      <c r="B765" s="488">
        <v>104</v>
      </c>
      <c r="C765" s="488">
        <v>104</v>
      </c>
      <c r="D765" s="294" t="s">
        <v>420</v>
      </c>
      <c r="E765" s="295">
        <v>14604</v>
      </c>
      <c r="F765" s="296">
        <v>5818</v>
      </c>
      <c r="G765" s="297">
        <v>380800</v>
      </c>
      <c r="H765" s="298">
        <f t="shared" si="11"/>
        <v>399840</v>
      </c>
    </row>
    <row r="766" spans="1:8" x14ac:dyDescent="0.2">
      <c r="A766" s="293" t="s">
        <v>395</v>
      </c>
      <c r="B766" s="488">
        <v>15</v>
      </c>
      <c r="C766" s="488">
        <v>15</v>
      </c>
      <c r="D766" s="294" t="s">
        <v>495</v>
      </c>
      <c r="E766" s="295">
        <v>14605</v>
      </c>
      <c r="F766" s="296">
        <v>3796</v>
      </c>
      <c r="G766" s="297">
        <v>265400</v>
      </c>
      <c r="H766" s="298">
        <f t="shared" si="11"/>
        <v>278670</v>
      </c>
    </row>
    <row r="767" spans="1:8" x14ac:dyDescent="0.2">
      <c r="A767" s="293" t="s">
        <v>391</v>
      </c>
      <c r="B767" s="488">
        <v>80</v>
      </c>
      <c r="C767" s="488">
        <v>80</v>
      </c>
      <c r="D767" s="294" t="s">
        <v>377</v>
      </c>
      <c r="E767" s="295">
        <v>14607</v>
      </c>
      <c r="F767" s="296">
        <v>34084</v>
      </c>
      <c r="G767" s="297">
        <v>70000</v>
      </c>
      <c r="H767" s="298">
        <f t="shared" si="11"/>
        <v>73500</v>
      </c>
    </row>
    <row r="768" spans="1:8" x14ac:dyDescent="0.2">
      <c r="A768" s="293" t="s">
        <v>913</v>
      </c>
      <c r="B768" s="488">
        <v>374</v>
      </c>
      <c r="C768" s="488">
        <v>374.5</v>
      </c>
      <c r="D768" s="294" t="s">
        <v>330</v>
      </c>
      <c r="E768" s="295">
        <v>14607</v>
      </c>
      <c r="F768" s="296">
        <v>4205</v>
      </c>
      <c r="G768" s="297">
        <v>90000</v>
      </c>
      <c r="H768" s="298">
        <f t="shared" si="11"/>
        <v>94500</v>
      </c>
    </row>
    <row r="769" spans="1:8" x14ac:dyDescent="0.2">
      <c r="A769" s="293" t="s">
        <v>914</v>
      </c>
      <c r="B769" s="488">
        <v>182</v>
      </c>
      <c r="C769" s="488">
        <v>182</v>
      </c>
      <c r="D769" s="294" t="s">
        <v>420</v>
      </c>
      <c r="E769" s="295">
        <v>14604</v>
      </c>
      <c r="F769" s="296">
        <v>10611</v>
      </c>
      <c r="G769" s="297">
        <v>171500</v>
      </c>
      <c r="H769" s="298">
        <f t="shared" si="11"/>
        <v>180075</v>
      </c>
    </row>
    <row r="770" spans="1:8" x14ac:dyDescent="0.2">
      <c r="A770" s="293" t="s">
        <v>691</v>
      </c>
      <c r="B770" s="488">
        <v>12</v>
      </c>
      <c r="C770" s="488">
        <v>12</v>
      </c>
      <c r="D770" s="294" t="s">
        <v>460</v>
      </c>
      <c r="E770" s="295">
        <v>14607</v>
      </c>
      <c r="F770" s="296">
        <v>6550</v>
      </c>
      <c r="G770" s="297">
        <v>220000</v>
      </c>
      <c r="H770" s="298">
        <f t="shared" si="11"/>
        <v>231000</v>
      </c>
    </row>
    <row r="771" spans="1:8" x14ac:dyDescent="0.2">
      <c r="A771" s="293" t="s">
        <v>680</v>
      </c>
      <c r="B771" s="488">
        <v>81</v>
      </c>
      <c r="C771" s="488">
        <v>81</v>
      </c>
      <c r="D771" s="294" t="s">
        <v>337</v>
      </c>
      <c r="E771" s="295">
        <v>14607</v>
      </c>
      <c r="F771" s="296">
        <v>3750</v>
      </c>
      <c r="G771" s="297">
        <v>207000</v>
      </c>
      <c r="H771" s="298">
        <f t="shared" si="11"/>
        <v>217350</v>
      </c>
    </row>
    <row r="772" spans="1:8" x14ac:dyDescent="0.2">
      <c r="A772" s="293" t="s">
        <v>533</v>
      </c>
      <c r="B772" s="488">
        <v>267</v>
      </c>
      <c r="C772" s="488">
        <v>267</v>
      </c>
      <c r="D772" s="294" t="s">
        <v>352</v>
      </c>
      <c r="E772" s="295">
        <v>14607</v>
      </c>
      <c r="F772" s="296">
        <v>335004</v>
      </c>
      <c r="G772" s="297">
        <v>5625000</v>
      </c>
      <c r="H772" s="298">
        <f t="shared" si="11"/>
        <v>5906250</v>
      </c>
    </row>
    <row r="773" spans="1:8" x14ac:dyDescent="0.2">
      <c r="A773" s="293" t="s">
        <v>792</v>
      </c>
      <c r="B773" s="488">
        <v>14</v>
      </c>
      <c r="C773" s="488">
        <v>16</v>
      </c>
      <c r="D773" s="294" t="s">
        <v>341</v>
      </c>
      <c r="E773" s="295">
        <v>14607</v>
      </c>
      <c r="F773" s="296">
        <v>7657</v>
      </c>
      <c r="G773" s="297">
        <v>28000</v>
      </c>
      <c r="H773" s="298">
        <f t="shared" si="11"/>
        <v>29400</v>
      </c>
    </row>
    <row r="774" spans="1:8" x14ac:dyDescent="0.2">
      <c r="A774" s="293" t="s">
        <v>557</v>
      </c>
      <c r="B774" s="488">
        <v>6</v>
      </c>
      <c r="C774" s="488">
        <v>6</v>
      </c>
      <c r="D774" s="294" t="s">
        <v>407</v>
      </c>
      <c r="E774" s="295">
        <v>14605</v>
      </c>
      <c r="F774" s="296">
        <v>7449</v>
      </c>
      <c r="G774" s="297">
        <v>140000</v>
      </c>
      <c r="H774" s="298">
        <f t="shared" si="11"/>
        <v>147000</v>
      </c>
    </row>
    <row r="775" spans="1:8" x14ac:dyDescent="0.2">
      <c r="A775" s="293" t="s">
        <v>463</v>
      </c>
      <c r="B775" s="488">
        <v>33</v>
      </c>
      <c r="C775" s="488">
        <v>33</v>
      </c>
      <c r="D775" s="294" t="s">
        <v>350</v>
      </c>
      <c r="E775" s="295">
        <v>14607</v>
      </c>
      <c r="F775" s="296">
        <v>3196</v>
      </c>
      <c r="G775" s="297">
        <v>149000</v>
      </c>
      <c r="H775" s="298">
        <f t="shared" ref="H775:H838" si="12">G775*1.05</f>
        <v>156450</v>
      </c>
    </row>
    <row r="776" spans="1:8" x14ac:dyDescent="0.2">
      <c r="A776" s="293" t="s">
        <v>915</v>
      </c>
      <c r="B776" s="488">
        <v>150</v>
      </c>
      <c r="C776" s="488">
        <v>152</v>
      </c>
      <c r="D776" s="294" t="s">
        <v>341</v>
      </c>
      <c r="E776" s="295">
        <v>14605</v>
      </c>
      <c r="F776" s="296">
        <v>4999</v>
      </c>
      <c r="G776" s="297">
        <v>12500</v>
      </c>
      <c r="H776" s="298">
        <f t="shared" si="12"/>
        <v>13125</v>
      </c>
    </row>
    <row r="777" spans="1:8" x14ac:dyDescent="0.2">
      <c r="A777" s="293" t="s">
        <v>664</v>
      </c>
      <c r="B777" s="488">
        <v>28</v>
      </c>
      <c r="C777" s="488">
        <v>30</v>
      </c>
      <c r="D777" s="294" t="s">
        <v>350</v>
      </c>
      <c r="E777" s="295">
        <v>14607</v>
      </c>
      <c r="F777" s="296">
        <v>2957</v>
      </c>
      <c r="G777" s="297">
        <v>115000</v>
      </c>
      <c r="H777" s="298">
        <f t="shared" si="12"/>
        <v>120750</v>
      </c>
    </row>
    <row r="778" spans="1:8" x14ac:dyDescent="0.2">
      <c r="A778" s="293" t="s">
        <v>916</v>
      </c>
      <c r="B778" s="488">
        <v>101</v>
      </c>
      <c r="C778" s="488">
        <v>129</v>
      </c>
      <c r="D778" s="294" t="s">
        <v>420</v>
      </c>
      <c r="E778" s="295">
        <v>14604</v>
      </c>
      <c r="F778" s="296">
        <v>59489</v>
      </c>
      <c r="G778" s="297">
        <v>2864600</v>
      </c>
      <c r="H778" s="298">
        <f t="shared" si="12"/>
        <v>3007830</v>
      </c>
    </row>
    <row r="779" spans="1:8" x14ac:dyDescent="0.2">
      <c r="A779" s="293" t="s">
        <v>360</v>
      </c>
      <c r="B779" s="488">
        <v>21</v>
      </c>
      <c r="C779" s="488">
        <v>21</v>
      </c>
      <c r="D779" s="294" t="s">
        <v>334</v>
      </c>
      <c r="E779" s="295">
        <v>14607</v>
      </c>
      <c r="F779" s="296">
        <v>10000</v>
      </c>
      <c r="G779" s="297">
        <v>222100</v>
      </c>
      <c r="H779" s="298">
        <f t="shared" si="12"/>
        <v>233205</v>
      </c>
    </row>
    <row r="780" spans="1:8" x14ac:dyDescent="0.2">
      <c r="A780" s="293" t="s">
        <v>917</v>
      </c>
      <c r="B780" s="488">
        <v>139</v>
      </c>
      <c r="C780" s="488">
        <v>139</v>
      </c>
      <c r="D780" s="294" t="s">
        <v>341</v>
      </c>
      <c r="E780" s="295">
        <v>14605</v>
      </c>
      <c r="F780" s="296">
        <v>7634</v>
      </c>
      <c r="G780" s="297">
        <v>41000</v>
      </c>
      <c r="H780" s="298">
        <f t="shared" si="12"/>
        <v>43050</v>
      </c>
    </row>
    <row r="781" spans="1:8" x14ac:dyDescent="0.2">
      <c r="A781" s="293" t="s">
        <v>827</v>
      </c>
      <c r="B781" s="488">
        <v>250</v>
      </c>
      <c r="C781" s="488">
        <v>250</v>
      </c>
      <c r="D781" s="294" t="s">
        <v>532</v>
      </c>
      <c r="E781" s="295">
        <v>14607</v>
      </c>
      <c r="F781" s="296">
        <v>85813</v>
      </c>
      <c r="G781" s="297">
        <v>6295000</v>
      </c>
      <c r="H781" s="298">
        <f t="shared" si="12"/>
        <v>6609750</v>
      </c>
    </row>
    <row r="782" spans="1:8" x14ac:dyDescent="0.2">
      <c r="A782" s="293" t="s">
        <v>882</v>
      </c>
      <c r="B782" s="488">
        <v>255</v>
      </c>
      <c r="C782" s="488">
        <v>255</v>
      </c>
      <c r="D782" s="294" t="s">
        <v>399</v>
      </c>
      <c r="E782" s="295">
        <v>14604</v>
      </c>
      <c r="F782" s="296">
        <v>29751</v>
      </c>
      <c r="G782" s="297">
        <v>624000</v>
      </c>
      <c r="H782" s="298">
        <f t="shared" si="12"/>
        <v>655200</v>
      </c>
    </row>
    <row r="783" spans="1:8" x14ac:dyDescent="0.2">
      <c r="A783" s="293" t="s">
        <v>918</v>
      </c>
      <c r="B783" s="488">
        <v>280</v>
      </c>
      <c r="C783" s="488">
        <v>280</v>
      </c>
      <c r="D783" s="294" t="s">
        <v>532</v>
      </c>
      <c r="E783" s="295">
        <v>14607</v>
      </c>
      <c r="F783" s="296">
        <v>71650</v>
      </c>
      <c r="G783" s="297">
        <v>4454400</v>
      </c>
      <c r="H783" s="298">
        <f t="shared" si="12"/>
        <v>4677120</v>
      </c>
    </row>
    <row r="784" spans="1:8" x14ac:dyDescent="0.2">
      <c r="A784" s="293" t="s">
        <v>919</v>
      </c>
      <c r="B784" s="488">
        <v>27</v>
      </c>
      <c r="C784" s="488">
        <v>29</v>
      </c>
      <c r="D784" s="294" t="s">
        <v>499</v>
      </c>
      <c r="E784" s="295">
        <v>14607</v>
      </c>
      <c r="F784" s="296">
        <v>4076</v>
      </c>
      <c r="G784" s="297">
        <v>114900</v>
      </c>
      <c r="H784" s="298">
        <f t="shared" si="12"/>
        <v>120645</v>
      </c>
    </row>
    <row r="785" spans="1:8" x14ac:dyDescent="0.2">
      <c r="A785" s="293" t="s">
        <v>641</v>
      </c>
      <c r="B785" s="488">
        <v>231</v>
      </c>
      <c r="C785" s="488">
        <v>231</v>
      </c>
      <c r="D785" s="294" t="s">
        <v>330</v>
      </c>
      <c r="E785" s="295">
        <v>14607</v>
      </c>
      <c r="F785" s="296">
        <v>6360</v>
      </c>
      <c r="G785" s="297">
        <v>163000</v>
      </c>
      <c r="H785" s="298">
        <f t="shared" si="12"/>
        <v>171150</v>
      </c>
    </row>
    <row r="786" spans="1:8" x14ac:dyDescent="0.2">
      <c r="A786" s="293" t="s">
        <v>920</v>
      </c>
      <c r="B786" s="488">
        <v>11</v>
      </c>
      <c r="C786" s="488">
        <v>11.5</v>
      </c>
      <c r="D786" s="294" t="s">
        <v>471</v>
      </c>
      <c r="E786" s="295">
        <v>14607</v>
      </c>
      <c r="F786" s="296">
        <v>3657</v>
      </c>
      <c r="G786" s="297">
        <v>95000</v>
      </c>
      <c r="H786" s="298">
        <f t="shared" si="12"/>
        <v>99750</v>
      </c>
    </row>
    <row r="787" spans="1:8" x14ac:dyDescent="0.2">
      <c r="A787" s="293" t="s">
        <v>921</v>
      </c>
      <c r="B787" s="488">
        <v>217</v>
      </c>
      <c r="C787" s="488">
        <v>217</v>
      </c>
      <c r="D787" s="294" t="s">
        <v>330</v>
      </c>
      <c r="E787" s="295">
        <v>14607</v>
      </c>
      <c r="F787" s="296">
        <v>12160</v>
      </c>
      <c r="G787" s="297">
        <v>160000</v>
      </c>
      <c r="H787" s="298">
        <f t="shared" si="12"/>
        <v>168000</v>
      </c>
    </row>
    <row r="788" spans="1:8" x14ac:dyDescent="0.2">
      <c r="A788" s="293" t="s">
        <v>922</v>
      </c>
      <c r="B788" s="488">
        <v>274</v>
      </c>
      <c r="C788" s="488">
        <v>280</v>
      </c>
      <c r="D788" s="294" t="s">
        <v>352</v>
      </c>
      <c r="E788" s="295">
        <v>14607</v>
      </c>
      <c r="F788" s="296">
        <v>12947</v>
      </c>
      <c r="G788" s="297">
        <v>298000</v>
      </c>
      <c r="H788" s="298">
        <f t="shared" si="12"/>
        <v>312900</v>
      </c>
    </row>
    <row r="789" spans="1:8" x14ac:dyDescent="0.2">
      <c r="A789" s="293" t="s">
        <v>395</v>
      </c>
      <c r="B789" s="488">
        <v>15</v>
      </c>
      <c r="C789" s="488">
        <v>15</v>
      </c>
      <c r="D789" s="294" t="s">
        <v>571</v>
      </c>
      <c r="E789" s="295">
        <v>14607</v>
      </c>
      <c r="F789" s="296">
        <v>37807</v>
      </c>
      <c r="G789" s="297">
        <v>396900</v>
      </c>
      <c r="H789" s="298">
        <f t="shared" si="12"/>
        <v>416745</v>
      </c>
    </row>
    <row r="790" spans="1:8" x14ac:dyDescent="0.2">
      <c r="A790" s="293" t="s">
        <v>508</v>
      </c>
      <c r="B790" s="488">
        <v>23</v>
      </c>
      <c r="C790" s="488">
        <v>23</v>
      </c>
      <c r="D790" s="294" t="s">
        <v>350</v>
      </c>
      <c r="E790" s="295">
        <v>14607</v>
      </c>
      <c r="F790" s="296">
        <v>3196</v>
      </c>
      <c r="G790" s="297">
        <v>117000</v>
      </c>
      <c r="H790" s="298">
        <f t="shared" si="12"/>
        <v>122850</v>
      </c>
    </row>
    <row r="791" spans="1:8" x14ac:dyDescent="0.2">
      <c r="A791" s="293" t="s">
        <v>882</v>
      </c>
      <c r="B791" s="488">
        <v>255</v>
      </c>
      <c r="C791" s="488">
        <v>255</v>
      </c>
      <c r="D791" s="294" t="s">
        <v>330</v>
      </c>
      <c r="E791" s="295">
        <v>14607</v>
      </c>
      <c r="F791" s="296">
        <v>21980</v>
      </c>
      <c r="G791" s="297">
        <v>583400</v>
      </c>
      <c r="H791" s="298">
        <f t="shared" si="12"/>
        <v>612570</v>
      </c>
    </row>
    <row r="792" spans="1:8" x14ac:dyDescent="0.2">
      <c r="A792" s="293" t="s">
        <v>611</v>
      </c>
      <c r="B792" s="488">
        <v>229</v>
      </c>
      <c r="C792" s="488">
        <v>229</v>
      </c>
      <c r="D792" s="294" t="s">
        <v>348</v>
      </c>
      <c r="E792" s="295">
        <v>14607</v>
      </c>
      <c r="F792" s="296">
        <v>4963</v>
      </c>
      <c r="G792" s="297">
        <v>137500</v>
      </c>
      <c r="H792" s="298">
        <f t="shared" si="12"/>
        <v>144375</v>
      </c>
    </row>
    <row r="793" spans="1:8" x14ac:dyDescent="0.2">
      <c r="A793" s="293" t="s">
        <v>496</v>
      </c>
      <c r="B793" s="488">
        <v>100</v>
      </c>
      <c r="C793" s="488">
        <v>100</v>
      </c>
      <c r="D793" s="294" t="s">
        <v>354</v>
      </c>
      <c r="E793" s="295">
        <v>14607</v>
      </c>
      <c r="F793" s="296">
        <v>3384</v>
      </c>
      <c r="G793" s="297">
        <v>250000</v>
      </c>
      <c r="H793" s="298">
        <f t="shared" si="12"/>
        <v>262500</v>
      </c>
    </row>
    <row r="794" spans="1:8" x14ac:dyDescent="0.2">
      <c r="A794" s="293" t="s">
        <v>592</v>
      </c>
      <c r="B794" s="488">
        <v>57</v>
      </c>
      <c r="C794" s="488">
        <v>57</v>
      </c>
      <c r="D794" s="294" t="s">
        <v>475</v>
      </c>
      <c r="E794" s="295">
        <v>14607</v>
      </c>
      <c r="F794" s="296">
        <v>520</v>
      </c>
      <c r="G794" s="297">
        <v>500</v>
      </c>
      <c r="H794" s="298">
        <f t="shared" si="12"/>
        <v>525</v>
      </c>
    </row>
    <row r="795" spans="1:8" x14ac:dyDescent="0.2">
      <c r="A795" s="293" t="s">
        <v>923</v>
      </c>
      <c r="B795" s="488">
        <v>330</v>
      </c>
      <c r="C795" s="488">
        <v>350</v>
      </c>
      <c r="D795" s="294" t="s">
        <v>352</v>
      </c>
      <c r="E795" s="295">
        <v>14607</v>
      </c>
      <c r="F795" s="296">
        <v>67344</v>
      </c>
      <c r="G795" s="297">
        <v>8100000</v>
      </c>
      <c r="H795" s="298">
        <f t="shared" si="12"/>
        <v>8505000</v>
      </c>
    </row>
    <row r="796" spans="1:8" x14ac:dyDescent="0.2">
      <c r="A796" s="293" t="s">
        <v>924</v>
      </c>
      <c r="B796" s="488">
        <v>32</v>
      </c>
      <c r="C796" s="488">
        <v>36</v>
      </c>
      <c r="D796" s="294" t="s">
        <v>424</v>
      </c>
      <c r="E796" s="295">
        <v>14607</v>
      </c>
      <c r="F796" s="296">
        <v>10488</v>
      </c>
      <c r="G796" s="297">
        <v>178200</v>
      </c>
      <c r="H796" s="298">
        <f t="shared" si="12"/>
        <v>187110</v>
      </c>
    </row>
    <row r="797" spans="1:8" x14ac:dyDescent="0.2">
      <c r="A797" s="293" t="s">
        <v>340</v>
      </c>
      <c r="B797" s="488">
        <v>98</v>
      </c>
      <c r="C797" s="488">
        <v>98</v>
      </c>
      <c r="D797" s="294" t="s">
        <v>354</v>
      </c>
      <c r="E797" s="295">
        <v>14607</v>
      </c>
      <c r="F797" s="296">
        <v>1872</v>
      </c>
      <c r="G797" s="297">
        <v>240000</v>
      </c>
      <c r="H797" s="298">
        <f t="shared" si="12"/>
        <v>252000</v>
      </c>
    </row>
    <row r="798" spans="1:8" x14ac:dyDescent="0.2">
      <c r="A798" s="293" t="s">
        <v>925</v>
      </c>
      <c r="B798" s="488">
        <v>144</v>
      </c>
      <c r="C798" s="488">
        <v>144</v>
      </c>
      <c r="D798" s="294" t="s">
        <v>341</v>
      </c>
      <c r="E798" s="295">
        <v>14605</v>
      </c>
      <c r="F798" s="296">
        <v>4271</v>
      </c>
      <c r="G798" s="297">
        <v>21000</v>
      </c>
      <c r="H798" s="298">
        <f t="shared" si="12"/>
        <v>22050</v>
      </c>
    </row>
    <row r="799" spans="1:8" x14ac:dyDescent="0.2">
      <c r="A799" s="293" t="s">
        <v>926</v>
      </c>
      <c r="B799" s="488">
        <v>551</v>
      </c>
      <c r="C799" s="488">
        <v>559</v>
      </c>
      <c r="D799" s="294" t="s">
        <v>328</v>
      </c>
      <c r="E799" s="295">
        <v>14604</v>
      </c>
      <c r="F799" s="296">
        <v>3189</v>
      </c>
      <c r="G799" s="297">
        <v>58700</v>
      </c>
      <c r="H799" s="298">
        <f t="shared" si="12"/>
        <v>61635</v>
      </c>
    </row>
    <row r="800" spans="1:8" x14ac:dyDescent="0.2">
      <c r="A800" s="293" t="s">
        <v>867</v>
      </c>
      <c r="B800" s="488">
        <v>84</v>
      </c>
      <c r="C800" s="488">
        <v>84</v>
      </c>
      <c r="D800" s="294" t="s">
        <v>365</v>
      </c>
      <c r="E800" s="295">
        <v>14604</v>
      </c>
      <c r="F800" s="296">
        <v>5513</v>
      </c>
      <c r="G800" s="297">
        <v>402400</v>
      </c>
      <c r="H800" s="298">
        <f t="shared" si="12"/>
        <v>422520</v>
      </c>
    </row>
    <row r="801" spans="1:8" x14ac:dyDescent="0.2">
      <c r="A801" s="293" t="s">
        <v>927</v>
      </c>
      <c r="B801" s="488">
        <v>683</v>
      </c>
      <c r="C801" s="488">
        <v>683</v>
      </c>
      <c r="D801" s="294" t="s">
        <v>328</v>
      </c>
      <c r="E801" s="295">
        <v>14605</v>
      </c>
      <c r="F801" s="296">
        <v>16440</v>
      </c>
      <c r="G801" s="297">
        <v>180000</v>
      </c>
      <c r="H801" s="298">
        <f t="shared" si="12"/>
        <v>189000</v>
      </c>
    </row>
    <row r="802" spans="1:8" x14ac:dyDescent="0.2">
      <c r="A802" s="293" t="s">
        <v>488</v>
      </c>
      <c r="B802" s="488">
        <v>16</v>
      </c>
      <c r="C802" s="488">
        <v>16</v>
      </c>
      <c r="D802" s="294" t="s">
        <v>464</v>
      </c>
      <c r="E802" s="295">
        <v>14607</v>
      </c>
      <c r="F802" s="296">
        <v>1903</v>
      </c>
      <c r="G802" s="297">
        <v>72500</v>
      </c>
      <c r="H802" s="298">
        <f t="shared" si="12"/>
        <v>76125</v>
      </c>
    </row>
    <row r="803" spans="1:8" x14ac:dyDescent="0.2">
      <c r="A803" s="293" t="s">
        <v>478</v>
      </c>
      <c r="B803" s="488">
        <v>261</v>
      </c>
      <c r="C803" s="488">
        <v>261</v>
      </c>
      <c r="D803" s="294" t="s">
        <v>348</v>
      </c>
      <c r="E803" s="295">
        <v>14607</v>
      </c>
      <c r="F803" s="296">
        <v>8250</v>
      </c>
      <c r="G803" s="297">
        <v>198000</v>
      </c>
      <c r="H803" s="298">
        <f t="shared" si="12"/>
        <v>207900</v>
      </c>
    </row>
    <row r="804" spans="1:8" x14ac:dyDescent="0.2">
      <c r="A804" s="293" t="s">
        <v>928</v>
      </c>
      <c r="B804" s="488">
        <v>118</v>
      </c>
      <c r="C804" s="488">
        <v>118</v>
      </c>
      <c r="D804" s="294" t="s">
        <v>368</v>
      </c>
      <c r="E804" s="295">
        <v>14607</v>
      </c>
      <c r="F804" s="296">
        <v>3353</v>
      </c>
      <c r="G804" s="297">
        <v>63000</v>
      </c>
      <c r="H804" s="298">
        <f t="shared" si="12"/>
        <v>66150</v>
      </c>
    </row>
    <row r="805" spans="1:8" x14ac:dyDescent="0.2">
      <c r="A805" s="293" t="s">
        <v>832</v>
      </c>
      <c r="B805" s="488">
        <v>215</v>
      </c>
      <c r="C805" s="488">
        <v>215</v>
      </c>
      <c r="D805" s="294" t="s">
        <v>330</v>
      </c>
      <c r="E805" s="295">
        <v>14607</v>
      </c>
      <c r="F805" s="296">
        <v>9539</v>
      </c>
      <c r="G805" s="297">
        <v>150000</v>
      </c>
      <c r="H805" s="298">
        <f t="shared" si="12"/>
        <v>157500</v>
      </c>
    </row>
    <row r="806" spans="1:8" x14ac:dyDescent="0.2">
      <c r="A806" s="293" t="s">
        <v>929</v>
      </c>
      <c r="B806" s="488">
        <v>94</v>
      </c>
      <c r="C806" s="488">
        <v>94</v>
      </c>
      <c r="D806" s="294" t="s">
        <v>361</v>
      </c>
      <c r="E806" s="295">
        <v>14607</v>
      </c>
      <c r="F806" s="296">
        <v>3007</v>
      </c>
      <c r="G806" s="297">
        <v>85500</v>
      </c>
      <c r="H806" s="298">
        <f t="shared" si="12"/>
        <v>89775</v>
      </c>
    </row>
    <row r="807" spans="1:8" x14ac:dyDescent="0.2">
      <c r="A807" s="293" t="s">
        <v>930</v>
      </c>
      <c r="B807" s="488">
        <v>85</v>
      </c>
      <c r="C807" s="488">
        <v>91</v>
      </c>
      <c r="D807" s="294" t="s">
        <v>332</v>
      </c>
      <c r="E807" s="295">
        <v>14605</v>
      </c>
      <c r="F807" s="296">
        <v>18216</v>
      </c>
      <c r="G807" s="297">
        <v>105800</v>
      </c>
      <c r="H807" s="298">
        <f t="shared" si="12"/>
        <v>111090</v>
      </c>
    </row>
    <row r="808" spans="1:8" x14ac:dyDescent="0.2">
      <c r="A808" s="293" t="s">
        <v>333</v>
      </c>
      <c r="B808" s="488">
        <v>19</v>
      </c>
      <c r="C808" s="488">
        <v>19</v>
      </c>
      <c r="D808" s="294" t="s">
        <v>455</v>
      </c>
      <c r="E808" s="295">
        <v>14607</v>
      </c>
      <c r="F808" s="296">
        <v>3018</v>
      </c>
      <c r="G808" s="297">
        <v>98500</v>
      </c>
      <c r="H808" s="298">
        <f t="shared" si="12"/>
        <v>103425</v>
      </c>
    </row>
    <row r="809" spans="1:8" x14ac:dyDescent="0.2">
      <c r="A809" s="293" t="s">
        <v>633</v>
      </c>
      <c r="B809" s="488">
        <v>185</v>
      </c>
      <c r="C809" s="488">
        <v>185</v>
      </c>
      <c r="D809" s="294" t="s">
        <v>377</v>
      </c>
      <c r="E809" s="295">
        <v>14607</v>
      </c>
      <c r="F809" s="296">
        <v>4356</v>
      </c>
      <c r="G809" s="297">
        <v>30000</v>
      </c>
      <c r="H809" s="298">
        <f t="shared" si="12"/>
        <v>31500</v>
      </c>
    </row>
    <row r="810" spans="1:8" x14ac:dyDescent="0.2">
      <c r="A810" s="293" t="s">
        <v>641</v>
      </c>
      <c r="B810" s="488">
        <v>231</v>
      </c>
      <c r="C810" s="488">
        <v>231</v>
      </c>
      <c r="D810" s="294" t="s">
        <v>348</v>
      </c>
      <c r="E810" s="295">
        <v>14607</v>
      </c>
      <c r="F810" s="296">
        <v>749</v>
      </c>
      <c r="G810" s="297">
        <v>2900</v>
      </c>
      <c r="H810" s="298">
        <f t="shared" si="12"/>
        <v>3045</v>
      </c>
    </row>
    <row r="811" spans="1:8" x14ac:dyDescent="0.2">
      <c r="A811" s="293" t="s">
        <v>931</v>
      </c>
      <c r="B811" s="488">
        <v>58</v>
      </c>
      <c r="C811" s="488">
        <v>58</v>
      </c>
      <c r="D811" s="294" t="s">
        <v>365</v>
      </c>
      <c r="E811" s="295">
        <v>14604</v>
      </c>
      <c r="F811" s="296">
        <v>2854</v>
      </c>
      <c r="G811" s="297">
        <v>64800</v>
      </c>
      <c r="H811" s="298">
        <f t="shared" si="12"/>
        <v>68040</v>
      </c>
    </row>
    <row r="812" spans="1:8" x14ac:dyDescent="0.2">
      <c r="A812" s="293" t="s">
        <v>932</v>
      </c>
      <c r="B812" s="488">
        <v>712</v>
      </c>
      <c r="C812" s="488">
        <v>712</v>
      </c>
      <c r="D812" s="294" t="s">
        <v>328</v>
      </c>
      <c r="E812" s="295">
        <v>14605</v>
      </c>
      <c r="F812" s="296">
        <v>30</v>
      </c>
      <c r="G812" s="297">
        <v>100</v>
      </c>
      <c r="H812" s="298">
        <f t="shared" si="12"/>
        <v>105</v>
      </c>
    </row>
    <row r="813" spans="1:8" x14ac:dyDescent="0.2">
      <c r="A813" s="293" t="s">
        <v>933</v>
      </c>
      <c r="B813" s="488">
        <v>395</v>
      </c>
      <c r="C813" s="294" t="s">
        <v>934</v>
      </c>
      <c r="D813" s="294" t="s">
        <v>330</v>
      </c>
      <c r="E813" s="295">
        <v>14607</v>
      </c>
      <c r="F813" s="296">
        <v>952</v>
      </c>
      <c r="G813" s="297">
        <v>108600</v>
      </c>
      <c r="H813" s="298">
        <f t="shared" si="12"/>
        <v>114030</v>
      </c>
    </row>
    <row r="814" spans="1:8" x14ac:dyDescent="0.2">
      <c r="A814" s="293" t="s">
        <v>501</v>
      </c>
      <c r="B814" s="488">
        <v>62</v>
      </c>
      <c r="C814" s="488">
        <v>62</v>
      </c>
      <c r="D814" s="294" t="s">
        <v>541</v>
      </c>
      <c r="E814" s="295">
        <v>14604</v>
      </c>
      <c r="F814" s="296">
        <v>0</v>
      </c>
      <c r="G814" s="297">
        <v>2289455</v>
      </c>
      <c r="H814" s="298">
        <f t="shared" si="12"/>
        <v>2403927.75</v>
      </c>
    </row>
    <row r="815" spans="1:8" x14ac:dyDescent="0.2">
      <c r="A815" s="293" t="s">
        <v>935</v>
      </c>
      <c r="B815" s="488">
        <v>178</v>
      </c>
      <c r="C815" s="488">
        <v>182</v>
      </c>
      <c r="D815" s="294" t="s">
        <v>377</v>
      </c>
      <c r="E815" s="295">
        <v>14607</v>
      </c>
      <c r="F815" s="296">
        <v>9055</v>
      </c>
      <c r="G815" s="297">
        <v>130900</v>
      </c>
      <c r="H815" s="298">
        <f t="shared" si="12"/>
        <v>137445</v>
      </c>
    </row>
    <row r="816" spans="1:8" x14ac:dyDescent="0.2">
      <c r="A816" s="293" t="s">
        <v>936</v>
      </c>
      <c r="B816" s="488">
        <v>33</v>
      </c>
      <c r="C816" s="488">
        <v>37</v>
      </c>
      <c r="D816" s="294" t="s">
        <v>443</v>
      </c>
      <c r="E816" s="295">
        <v>14607</v>
      </c>
      <c r="F816" s="296">
        <v>7429</v>
      </c>
      <c r="G816" s="297">
        <v>127500</v>
      </c>
      <c r="H816" s="298">
        <f t="shared" si="12"/>
        <v>133875</v>
      </c>
    </row>
    <row r="817" spans="1:8" x14ac:dyDescent="0.2">
      <c r="A817" s="293" t="s">
        <v>406</v>
      </c>
      <c r="B817" s="488">
        <v>11</v>
      </c>
      <c r="C817" s="488">
        <v>11</v>
      </c>
      <c r="D817" s="294" t="s">
        <v>334</v>
      </c>
      <c r="E817" s="295">
        <v>14607</v>
      </c>
      <c r="F817" s="296">
        <v>53774</v>
      </c>
      <c r="G817" s="297">
        <v>342000</v>
      </c>
      <c r="H817" s="298">
        <f t="shared" si="12"/>
        <v>359100</v>
      </c>
    </row>
    <row r="818" spans="1:8" x14ac:dyDescent="0.2">
      <c r="A818" s="293" t="s">
        <v>937</v>
      </c>
      <c r="B818" s="488">
        <v>292</v>
      </c>
      <c r="C818" s="488">
        <v>292</v>
      </c>
      <c r="D818" s="294" t="s">
        <v>420</v>
      </c>
      <c r="E818" s="295">
        <v>14604</v>
      </c>
      <c r="F818" s="296">
        <v>2275</v>
      </c>
      <c r="G818" s="297">
        <v>25000</v>
      </c>
      <c r="H818" s="298">
        <f t="shared" si="12"/>
        <v>26250</v>
      </c>
    </row>
    <row r="819" spans="1:8" x14ac:dyDescent="0.2">
      <c r="A819" s="293" t="s">
        <v>501</v>
      </c>
      <c r="B819" s="488">
        <v>62</v>
      </c>
      <c r="C819" s="488">
        <v>62</v>
      </c>
      <c r="D819" s="294" t="s">
        <v>341</v>
      </c>
      <c r="E819" s="295">
        <v>14607</v>
      </c>
      <c r="F819" s="296">
        <v>9811</v>
      </c>
      <c r="G819" s="297">
        <v>285000</v>
      </c>
      <c r="H819" s="298">
        <f t="shared" si="12"/>
        <v>299250</v>
      </c>
    </row>
    <row r="820" spans="1:8" x14ac:dyDescent="0.2">
      <c r="A820" s="293" t="s">
        <v>929</v>
      </c>
      <c r="B820" s="488">
        <v>94</v>
      </c>
      <c r="C820" s="488">
        <v>94</v>
      </c>
      <c r="D820" s="294" t="s">
        <v>354</v>
      </c>
      <c r="E820" s="295">
        <v>14607</v>
      </c>
      <c r="F820" s="296">
        <v>2237</v>
      </c>
      <c r="G820" s="297">
        <v>240000</v>
      </c>
      <c r="H820" s="298">
        <f t="shared" si="12"/>
        <v>252000</v>
      </c>
    </row>
    <row r="821" spans="1:8" x14ac:dyDescent="0.2">
      <c r="A821" s="293" t="s">
        <v>938</v>
      </c>
      <c r="B821" s="488">
        <v>715</v>
      </c>
      <c r="C821" s="488">
        <v>715</v>
      </c>
      <c r="D821" s="294" t="s">
        <v>394</v>
      </c>
      <c r="E821" s="295">
        <v>14607</v>
      </c>
      <c r="F821" s="296">
        <v>7656</v>
      </c>
      <c r="G821" s="297">
        <v>120000</v>
      </c>
      <c r="H821" s="298">
        <f t="shared" si="12"/>
        <v>126000</v>
      </c>
    </row>
    <row r="822" spans="1:8" x14ac:dyDescent="0.2">
      <c r="A822" s="293" t="s">
        <v>634</v>
      </c>
      <c r="B822" s="488">
        <v>125</v>
      </c>
      <c r="C822" s="488">
        <v>125</v>
      </c>
      <c r="D822" s="294" t="s">
        <v>332</v>
      </c>
      <c r="E822" s="295">
        <v>14605</v>
      </c>
      <c r="F822" s="296">
        <v>2845</v>
      </c>
      <c r="G822" s="297">
        <v>379000</v>
      </c>
      <c r="H822" s="298">
        <f t="shared" si="12"/>
        <v>397950</v>
      </c>
    </row>
    <row r="823" spans="1:8" x14ac:dyDescent="0.2">
      <c r="A823" s="293" t="s">
        <v>717</v>
      </c>
      <c r="B823" s="488">
        <v>109</v>
      </c>
      <c r="C823" s="488">
        <v>109</v>
      </c>
      <c r="D823" s="294" t="s">
        <v>332</v>
      </c>
      <c r="E823" s="295">
        <v>14605</v>
      </c>
      <c r="F823" s="296">
        <v>2627</v>
      </c>
      <c r="G823" s="297">
        <v>200000</v>
      </c>
      <c r="H823" s="298">
        <f t="shared" si="12"/>
        <v>210000</v>
      </c>
    </row>
    <row r="824" spans="1:8" x14ac:dyDescent="0.2">
      <c r="A824" s="293" t="s">
        <v>708</v>
      </c>
      <c r="B824" s="488">
        <v>119</v>
      </c>
      <c r="C824" s="488">
        <v>119</v>
      </c>
      <c r="D824" s="294" t="s">
        <v>354</v>
      </c>
      <c r="E824" s="295">
        <v>14607</v>
      </c>
      <c r="F824" s="296">
        <v>5550</v>
      </c>
      <c r="G824" s="297">
        <v>27500</v>
      </c>
      <c r="H824" s="298">
        <f t="shared" si="12"/>
        <v>28875</v>
      </c>
    </row>
    <row r="825" spans="1:8" x14ac:dyDescent="0.2">
      <c r="A825" s="299" t="s">
        <v>939</v>
      </c>
      <c r="B825" s="489">
        <v>335</v>
      </c>
      <c r="C825" s="489">
        <v>335.5</v>
      </c>
      <c r="D825" s="300" t="s">
        <v>330</v>
      </c>
      <c r="E825" s="301">
        <v>14607</v>
      </c>
      <c r="F825" s="302">
        <v>5501</v>
      </c>
      <c r="G825" s="303">
        <v>40000</v>
      </c>
      <c r="H825" s="304">
        <f t="shared" si="12"/>
        <v>42000</v>
      </c>
    </row>
    <row r="826" spans="1:8" x14ac:dyDescent="0.2">
      <c r="A826" s="293" t="s">
        <v>940</v>
      </c>
      <c r="B826" s="488">
        <v>28</v>
      </c>
      <c r="C826" s="488">
        <v>5</v>
      </c>
      <c r="D826" s="294" t="s">
        <v>373</v>
      </c>
      <c r="E826" s="295">
        <v>14607</v>
      </c>
      <c r="F826" s="296">
        <v>1518</v>
      </c>
      <c r="G826" s="297">
        <v>9000</v>
      </c>
      <c r="H826" s="298">
        <f t="shared" si="12"/>
        <v>9450</v>
      </c>
    </row>
    <row r="827" spans="1:8" x14ac:dyDescent="0.2">
      <c r="A827" s="293" t="s">
        <v>349</v>
      </c>
      <c r="B827" s="488">
        <v>34</v>
      </c>
      <c r="C827" s="488">
        <v>34</v>
      </c>
      <c r="D827" s="294" t="s">
        <v>455</v>
      </c>
      <c r="E827" s="295">
        <v>14607</v>
      </c>
      <c r="F827" s="296">
        <v>2614</v>
      </c>
      <c r="G827" s="297">
        <v>96000</v>
      </c>
      <c r="H827" s="298">
        <f t="shared" si="12"/>
        <v>100800</v>
      </c>
    </row>
    <row r="828" spans="1:8" x14ac:dyDescent="0.2">
      <c r="A828" s="293" t="s">
        <v>941</v>
      </c>
      <c r="B828" s="488">
        <v>290</v>
      </c>
      <c r="C828" s="488">
        <v>292</v>
      </c>
      <c r="D828" s="294" t="s">
        <v>330</v>
      </c>
      <c r="E828" s="295">
        <v>14607</v>
      </c>
      <c r="F828" s="296">
        <v>11627</v>
      </c>
      <c r="G828" s="297">
        <v>76000</v>
      </c>
      <c r="H828" s="298">
        <f t="shared" si="12"/>
        <v>79800</v>
      </c>
    </row>
    <row r="829" spans="1:8" x14ac:dyDescent="0.2">
      <c r="A829" s="293" t="s">
        <v>942</v>
      </c>
      <c r="B829" s="488">
        <v>47</v>
      </c>
      <c r="C829" s="488">
        <v>49</v>
      </c>
      <c r="D829" s="294" t="s">
        <v>455</v>
      </c>
      <c r="E829" s="295">
        <v>14607</v>
      </c>
      <c r="F829" s="296">
        <v>3132</v>
      </c>
      <c r="G829" s="297">
        <v>101500</v>
      </c>
      <c r="H829" s="298">
        <f t="shared" si="12"/>
        <v>106575</v>
      </c>
    </row>
    <row r="830" spans="1:8" x14ac:dyDescent="0.2">
      <c r="A830" s="293" t="s">
        <v>943</v>
      </c>
      <c r="B830" s="488">
        <v>395</v>
      </c>
      <c r="C830" s="294" t="s">
        <v>944</v>
      </c>
      <c r="D830" s="294" t="s">
        <v>330</v>
      </c>
      <c r="E830" s="295">
        <v>14607</v>
      </c>
      <c r="F830" s="296">
        <v>970</v>
      </c>
      <c r="G830" s="297">
        <v>111500</v>
      </c>
      <c r="H830" s="298">
        <f t="shared" si="12"/>
        <v>117075</v>
      </c>
    </row>
    <row r="831" spans="1:8" x14ac:dyDescent="0.2">
      <c r="A831" s="293" t="s">
        <v>945</v>
      </c>
      <c r="B831" s="488">
        <v>396</v>
      </c>
      <c r="C831" s="488">
        <v>396</v>
      </c>
      <c r="D831" s="294" t="s">
        <v>420</v>
      </c>
      <c r="E831" s="295">
        <v>14607</v>
      </c>
      <c r="F831" s="296">
        <v>2839</v>
      </c>
      <c r="G831" s="297">
        <v>1000</v>
      </c>
      <c r="H831" s="298">
        <f t="shared" si="12"/>
        <v>1050</v>
      </c>
    </row>
    <row r="832" spans="1:8" x14ac:dyDescent="0.2">
      <c r="A832" s="293" t="s">
        <v>466</v>
      </c>
      <c r="B832" s="488">
        <v>241</v>
      </c>
      <c r="C832" s="488">
        <v>241</v>
      </c>
      <c r="D832" s="294" t="s">
        <v>330</v>
      </c>
      <c r="E832" s="295">
        <v>14607</v>
      </c>
      <c r="F832" s="296">
        <v>21828</v>
      </c>
      <c r="G832" s="297">
        <v>661500</v>
      </c>
      <c r="H832" s="298">
        <f t="shared" si="12"/>
        <v>694575</v>
      </c>
    </row>
    <row r="833" spans="1:8" x14ac:dyDescent="0.2">
      <c r="A833" s="293" t="s">
        <v>349</v>
      </c>
      <c r="B833" s="488">
        <v>34</v>
      </c>
      <c r="C833" s="488">
        <v>34</v>
      </c>
      <c r="D833" s="294" t="s">
        <v>361</v>
      </c>
      <c r="E833" s="295">
        <v>14607</v>
      </c>
      <c r="F833" s="296">
        <v>7220</v>
      </c>
      <c r="G833" s="297">
        <v>50500</v>
      </c>
      <c r="H833" s="298">
        <f t="shared" si="12"/>
        <v>53025</v>
      </c>
    </row>
    <row r="834" spans="1:8" x14ac:dyDescent="0.2">
      <c r="A834" s="293" t="s">
        <v>946</v>
      </c>
      <c r="B834" s="488">
        <v>137</v>
      </c>
      <c r="C834" s="488">
        <v>137</v>
      </c>
      <c r="D834" s="294" t="s">
        <v>418</v>
      </c>
      <c r="E834" s="295">
        <v>14605</v>
      </c>
      <c r="F834" s="296">
        <v>7757</v>
      </c>
      <c r="G834" s="297">
        <v>23000</v>
      </c>
      <c r="H834" s="298">
        <f t="shared" si="12"/>
        <v>24150</v>
      </c>
    </row>
    <row r="835" spans="1:8" x14ac:dyDescent="0.2">
      <c r="A835" s="293" t="s">
        <v>398</v>
      </c>
      <c r="B835" s="488">
        <v>169</v>
      </c>
      <c r="C835" s="488">
        <v>169</v>
      </c>
      <c r="D835" s="294" t="s">
        <v>354</v>
      </c>
      <c r="E835" s="295">
        <v>14607</v>
      </c>
      <c r="F835" s="296">
        <v>5476</v>
      </c>
      <c r="G835" s="297">
        <v>10900</v>
      </c>
      <c r="H835" s="298">
        <f t="shared" si="12"/>
        <v>11445</v>
      </c>
    </row>
    <row r="836" spans="1:8" x14ac:dyDescent="0.2">
      <c r="A836" s="293" t="s">
        <v>947</v>
      </c>
      <c r="B836" s="488">
        <v>78</v>
      </c>
      <c r="C836" s="488">
        <v>80</v>
      </c>
      <c r="D836" s="294" t="s">
        <v>341</v>
      </c>
      <c r="E836" s="295">
        <v>14607</v>
      </c>
      <c r="F836" s="296">
        <v>7813</v>
      </c>
      <c r="G836" s="297">
        <v>150000</v>
      </c>
      <c r="H836" s="298">
        <f t="shared" si="12"/>
        <v>157500</v>
      </c>
    </row>
    <row r="837" spans="1:8" x14ac:dyDescent="0.2">
      <c r="A837" s="293" t="s">
        <v>948</v>
      </c>
      <c r="B837" s="488">
        <v>151</v>
      </c>
      <c r="C837" s="488">
        <v>157</v>
      </c>
      <c r="D837" s="294" t="s">
        <v>332</v>
      </c>
      <c r="E837" s="295">
        <v>14605</v>
      </c>
      <c r="F837" s="296">
        <v>4311</v>
      </c>
      <c r="G837" s="297">
        <v>20000</v>
      </c>
      <c r="H837" s="298">
        <f t="shared" si="12"/>
        <v>21000</v>
      </c>
    </row>
    <row r="838" spans="1:8" x14ac:dyDescent="0.2">
      <c r="A838" s="293" t="s">
        <v>656</v>
      </c>
      <c r="B838" s="488">
        <v>28</v>
      </c>
      <c r="C838" s="488">
        <v>28</v>
      </c>
      <c r="D838" s="294" t="s">
        <v>361</v>
      </c>
      <c r="E838" s="295">
        <v>14607</v>
      </c>
      <c r="F838" s="296">
        <v>3393</v>
      </c>
      <c r="G838" s="297">
        <v>135700</v>
      </c>
      <c r="H838" s="298">
        <f t="shared" si="12"/>
        <v>142485</v>
      </c>
    </row>
    <row r="839" spans="1:8" x14ac:dyDescent="0.2">
      <c r="A839" s="293" t="s">
        <v>596</v>
      </c>
      <c r="B839" s="488">
        <v>201</v>
      </c>
      <c r="C839" s="488">
        <v>201</v>
      </c>
      <c r="D839" s="294" t="s">
        <v>368</v>
      </c>
      <c r="E839" s="295">
        <v>14607</v>
      </c>
      <c r="F839" s="296">
        <v>2877</v>
      </c>
      <c r="G839" s="297">
        <v>105000</v>
      </c>
      <c r="H839" s="298">
        <f t="shared" ref="H839:H869" si="13">G839*1.05</f>
        <v>110250</v>
      </c>
    </row>
    <row r="840" spans="1:8" x14ac:dyDescent="0.2">
      <c r="A840" s="293" t="s">
        <v>949</v>
      </c>
      <c r="B840" s="488">
        <v>300</v>
      </c>
      <c r="C840" s="488">
        <v>300</v>
      </c>
      <c r="D840" s="294" t="s">
        <v>352</v>
      </c>
      <c r="E840" s="295">
        <v>14607</v>
      </c>
      <c r="F840" s="296">
        <v>20395</v>
      </c>
      <c r="G840" s="297">
        <v>278300</v>
      </c>
      <c r="H840" s="298">
        <f t="shared" si="13"/>
        <v>292215</v>
      </c>
    </row>
    <row r="841" spans="1:8" x14ac:dyDescent="0.2">
      <c r="A841" s="293" t="s">
        <v>481</v>
      </c>
      <c r="B841" s="488">
        <v>5</v>
      </c>
      <c r="C841" s="488">
        <v>5</v>
      </c>
      <c r="D841" s="294" t="s">
        <v>729</v>
      </c>
      <c r="E841" s="295">
        <v>14607</v>
      </c>
      <c r="F841" s="296">
        <v>16143</v>
      </c>
      <c r="G841" s="297">
        <v>158700</v>
      </c>
      <c r="H841" s="298">
        <f t="shared" si="13"/>
        <v>166635</v>
      </c>
    </row>
    <row r="842" spans="1:8" x14ac:dyDescent="0.2">
      <c r="A842" s="293" t="s">
        <v>950</v>
      </c>
      <c r="B842" s="488">
        <v>223</v>
      </c>
      <c r="C842" s="488">
        <v>223</v>
      </c>
      <c r="D842" s="294" t="s">
        <v>330</v>
      </c>
      <c r="E842" s="295">
        <v>14607</v>
      </c>
      <c r="F842" s="296">
        <v>6795</v>
      </c>
      <c r="G842" s="297">
        <v>185000</v>
      </c>
      <c r="H842" s="298">
        <f t="shared" si="13"/>
        <v>194250</v>
      </c>
    </row>
    <row r="843" spans="1:8" x14ac:dyDescent="0.2">
      <c r="A843" s="293" t="s">
        <v>578</v>
      </c>
      <c r="B843" s="488">
        <v>25</v>
      </c>
      <c r="C843" s="488">
        <v>25</v>
      </c>
      <c r="D843" s="294" t="s">
        <v>361</v>
      </c>
      <c r="E843" s="295">
        <v>14607</v>
      </c>
      <c r="F843" s="296">
        <v>3600</v>
      </c>
      <c r="G843" s="297">
        <v>19100</v>
      </c>
      <c r="H843" s="298">
        <f t="shared" si="13"/>
        <v>20055</v>
      </c>
    </row>
    <row r="844" spans="1:8" x14ac:dyDescent="0.2">
      <c r="A844" s="293" t="s">
        <v>951</v>
      </c>
      <c r="B844" s="488">
        <v>149</v>
      </c>
      <c r="C844" s="488">
        <v>149</v>
      </c>
      <c r="D844" s="294" t="s">
        <v>341</v>
      </c>
      <c r="E844" s="295">
        <v>14605</v>
      </c>
      <c r="F844" s="296">
        <v>5070</v>
      </c>
      <c r="G844" s="297">
        <v>41500</v>
      </c>
      <c r="H844" s="298">
        <f t="shared" si="13"/>
        <v>43575</v>
      </c>
    </row>
    <row r="845" spans="1:8" x14ac:dyDescent="0.2">
      <c r="A845" s="293" t="s">
        <v>453</v>
      </c>
      <c r="B845" s="488">
        <v>47</v>
      </c>
      <c r="C845" s="488">
        <v>47</v>
      </c>
      <c r="D845" s="294" t="s">
        <v>361</v>
      </c>
      <c r="E845" s="295">
        <v>14607</v>
      </c>
      <c r="F845" s="296">
        <v>3290</v>
      </c>
      <c r="G845" s="297">
        <v>24000</v>
      </c>
      <c r="H845" s="298">
        <f t="shared" si="13"/>
        <v>25200</v>
      </c>
    </row>
    <row r="846" spans="1:8" x14ac:dyDescent="0.2">
      <c r="A846" s="293" t="s">
        <v>481</v>
      </c>
      <c r="B846" s="488">
        <v>5</v>
      </c>
      <c r="C846" s="488">
        <v>5</v>
      </c>
      <c r="D846" s="294" t="s">
        <v>396</v>
      </c>
      <c r="E846" s="295">
        <v>14607</v>
      </c>
      <c r="F846" s="296">
        <v>4613</v>
      </c>
      <c r="G846" s="297">
        <v>70000</v>
      </c>
      <c r="H846" s="298">
        <f t="shared" si="13"/>
        <v>73500</v>
      </c>
    </row>
    <row r="847" spans="1:8" x14ac:dyDescent="0.2">
      <c r="A847" s="293" t="s">
        <v>490</v>
      </c>
      <c r="B847" s="488">
        <v>18</v>
      </c>
      <c r="C847" s="488">
        <v>18</v>
      </c>
      <c r="D847" s="294" t="s">
        <v>373</v>
      </c>
      <c r="E847" s="295">
        <v>14607</v>
      </c>
      <c r="F847" s="296">
        <v>3300</v>
      </c>
      <c r="G847" s="297">
        <v>16500</v>
      </c>
      <c r="H847" s="298">
        <f t="shared" si="13"/>
        <v>17325</v>
      </c>
    </row>
    <row r="848" spans="1:8" x14ac:dyDescent="0.2">
      <c r="A848" s="293" t="s">
        <v>866</v>
      </c>
      <c r="B848" s="488">
        <v>234</v>
      </c>
      <c r="C848" s="488">
        <v>234</v>
      </c>
      <c r="D848" s="294" t="s">
        <v>381</v>
      </c>
      <c r="E848" s="295">
        <v>14605</v>
      </c>
      <c r="F848" s="296">
        <v>3380</v>
      </c>
      <c r="G848" s="297">
        <v>30600</v>
      </c>
      <c r="H848" s="298">
        <f t="shared" si="13"/>
        <v>32130</v>
      </c>
    </row>
    <row r="849" spans="1:8" x14ac:dyDescent="0.2">
      <c r="A849" s="293" t="s">
        <v>952</v>
      </c>
      <c r="B849" s="488">
        <v>33</v>
      </c>
      <c r="C849" s="488">
        <v>35</v>
      </c>
      <c r="D849" s="294" t="s">
        <v>499</v>
      </c>
      <c r="E849" s="295">
        <v>14607</v>
      </c>
      <c r="F849" s="296">
        <v>3855</v>
      </c>
      <c r="G849" s="297">
        <v>117000</v>
      </c>
      <c r="H849" s="298">
        <f t="shared" si="13"/>
        <v>122850</v>
      </c>
    </row>
    <row r="850" spans="1:8" x14ac:dyDescent="0.2">
      <c r="A850" s="293" t="s">
        <v>953</v>
      </c>
      <c r="B850" s="488">
        <v>397</v>
      </c>
      <c r="C850" s="294" t="s">
        <v>954</v>
      </c>
      <c r="D850" s="294" t="s">
        <v>330</v>
      </c>
      <c r="E850" s="295">
        <v>14607</v>
      </c>
      <c r="F850" s="296">
        <v>1173</v>
      </c>
      <c r="G850" s="297">
        <v>109900</v>
      </c>
      <c r="H850" s="298">
        <f t="shared" si="13"/>
        <v>115395</v>
      </c>
    </row>
    <row r="851" spans="1:8" x14ac:dyDescent="0.2">
      <c r="A851" s="293" t="s">
        <v>955</v>
      </c>
      <c r="B851" s="488">
        <v>319</v>
      </c>
      <c r="C851" s="488">
        <v>329</v>
      </c>
      <c r="D851" s="294" t="s">
        <v>332</v>
      </c>
      <c r="E851" s="295">
        <v>14607</v>
      </c>
      <c r="F851" s="296">
        <v>11966</v>
      </c>
      <c r="G851" s="297">
        <v>88400</v>
      </c>
      <c r="H851" s="298">
        <f t="shared" si="13"/>
        <v>92820</v>
      </c>
    </row>
    <row r="852" spans="1:8" x14ac:dyDescent="0.2">
      <c r="A852" s="293" t="s">
        <v>956</v>
      </c>
      <c r="B852" s="488">
        <v>366</v>
      </c>
      <c r="C852" s="294" t="s">
        <v>957</v>
      </c>
      <c r="D852" s="294" t="s">
        <v>332</v>
      </c>
      <c r="E852" s="295">
        <v>14607</v>
      </c>
      <c r="F852" s="296">
        <v>1114</v>
      </c>
      <c r="G852" s="297">
        <v>110000</v>
      </c>
      <c r="H852" s="298">
        <f t="shared" si="13"/>
        <v>115500</v>
      </c>
    </row>
    <row r="853" spans="1:8" x14ac:dyDescent="0.2">
      <c r="A853" s="293" t="s">
        <v>958</v>
      </c>
      <c r="B853" s="488">
        <v>110</v>
      </c>
      <c r="C853" s="488">
        <v>110</v>
      </c>
      <c r="D853" s="294" t="s">
        <v>339</v>
      </c>
      <c r="E853" s="295">
        <v>14607</v>
      </c>
      <c r="F853" s="296">
        <v>2142</v>
      </c>
      <c r="G853" s="297">
        <v>164300</v>
      </c>
      <c r="H853" s="298">
        <f t="shared" si="13"/>
        <v>172515</v>
      </c>
    </row>
    <row r="854" spans="1:8" x14ac:dyDescent="0.2">
      <c r="A854" s="293" t="s">
        <v>959</v>
      </c>
      <c r="B854" s="488">
        <v>2</v>
      </c>
      <c r="C854" s="488">
        <v>4</v>
      </c>
      <c r="D854" s="294" t="s">
        <v>452</v>
      </c>
      <c r="E854" s="295">
        <v>14607</v>
      </c>
      <c r="F854" s="296">
        <v>10425</v>
      </c>
      <c r="G854" s="297">
        <v>190000</v>
      </c>
      <c r="H854" s="298">
        <f t="shared" si="13"/>
        <v>199500</v>
      </c>
    </row>
    <row r="855" spans="1:8" x14ac:dyDescent="0.2">
      <c r="A855" s="293" t="s">
        <v>543</v>
      </c>
      <c r="B855" s="488">
        <v>30</v>
      </c>
      <c r="C855" s="488">
        <v>30</v>
      </c>
      <c r="D855" s="294" t="s">
        <v>475</v>
      </c>
      <c r="E855" s="295">
        <v>14607</v>
      </c>
      <c r="F855" s="296">
        <v>3161</v>
      </c>
      <c r="G855" s="297">
        <v>63100</v>
      </c>
      <c r="H855" s="298">
        <f t="shared" si="13"/>
        <v>66255</v>
      </c>
    </row>
    <row r="856" spans="1:8" x14ac:dyDescent="0.2">
      <c r="A856" s="293" t="s">
        <v>411</v>
      </c>
      <c r="B856" s="488">
        <v>121</v>
      </c>
      <c r="C856" s="488">
        <v>121</v>
      </c>
      <c r="D856" s="294" t="s">
        <v>354</v>
      </c>
      <c r="E856" s="295">
        <v>14607</v>
      </c>
      <c r="F856" s="296">
        <v>4008</v>
      </c>
      <c r="G856" s="297">
        <v>20000</v>
      </c>
      <c r="H856" s="298">
        <f t="shared" si="13"/>
        <v>21000</v>
      </c>
    </row>
    <row r="857" spans="1:8" x14ac:dyDescent="0.2">
      <c r="A857" s="293" t="s">
        <v>960</v>
      </c>
      <c r="B857" s="488">
        <v>171</v>
      </c>
      <c r="C857" s="488">
        <v>171</v>
      </c>
      <c r="D857" s="294" t="s">
        <v>420</v>
      </c>
      <c r="E857" s="295">
        <v>14604</v>
      </c>
      <c r="F857" s="296">
        <v>18561</v>
      </c>
      <c r="G857" s="297">
        <v>1593000</v>
      </c>
      <c r="H857" s="298">
        <f t="shared" si="13"/>
        <v>1672650</v>
      </c>
    </row>
    <row r="858" spans="1:8" x14ac:dyDescent="0.2">
      <c r="A858" s="293" t="s">
        <v>403</v>
      </c>
      <c r="B858" s="488">
        <v>17</v>
      </c>
      <c r="C858" s="488">
        <v>17</v>
      </c>
      <c r="D858" s="294" t="s">
        <v>377</v>
      </c>
      <c r="E858" s="295">
        <v>14607</v>
      </c>
      <c r="F858" s="296">
        <v>3104</v>
      </c>
      <c r="G858" s="297">
        <v>22500</v>
      </c>
      <c r="H858" s="298">
        <f t="shared" si="13"/>
        <v>23625</v>
      </c>
    </row>
    <row r="859" spans="1:8" x14ac:dyDescent="0.2">
      <c r="A859" s="293" t="s">
        <v>961</v>
      </c>
      <c r="B859" s="488">
        <v>295</v>
      </c>
      <c r="C859" s="488">
        <v>299</v>
      </c>
      <c r="D859" s="294" t="s">
        <v>352</v>
      </c>
      <c r="E859" s="295">
        <v>14607</v>
      </c>
      <c r="F859" s="296">
        <v>4907</v>
      </c>
      <c r="G859" s="297">
        <v>264500</v>
      </c>
      <c r="H859" s="298">
        <f t="shared" si="13"/>
        <v>277725</v>
      </c>
    </row>
    <row r="860" spans="1:8" x14ac:dyDescent="0.2">
      <c r="A860" s="293" t="s">
        <v>594</v>
      </c>
      <c r="B860" s="488">
        <v>52</v>
      </c>
      <c r="C860" s="488">
        <v>52</v>
      </c>
      <c r="D860" s="294" t="s">
        <v>415</v>
      </c>
      <c r="E860" s="295">
        <v>14607</v>
      </c>
      <c r="F860" s="296">
        <v>3000</v>
      </c>
      <c r="G860" s="297">
        <v>38000</v>
      </c>
      <c r="H860" s="298">
        <f t="shared" si="13"/>
        <v>39900</v>
      </c>
    </row>
    <row r="861" spans="1:8" x14ac:dyDescent="0.2">
      <c r="A861" s="293" t="s">
        <v>962</v>
      </c>
      <c r="B861" s="488">
        <v>382</v>
      </c>
      <c r="C861" s="488">
        <v>382</v>
      </c>
      <c r="D861" s="294" t="s">
        <v>415</v>
      </c>
      <c r="E861" s="295">
        <v>14607</v>
      </c>
      <c r="F861" s="296">
        <v>4546</v>
      </c>
      <c r="G861" s="297">
        <v>44000</v>
      </c>
      <c r="H861" s="298">
        <f t="shared" si="13"/>
        <v>46200</v>
      </c>
    </row>
    <row r="862" spans="1:8" x14ac:dyDescent="0.2">
      <c r="A862" s="293" t="s">
        <v>782</v>
      </c>
      <c r="B862" s="488">
        <v>26</v>
      </c>
      <c r="C862" s="488">
        <v>28</v>
      </c>
      <c r="D862" s="294" t="s">
        <v>499</v>
      </c>
      <c r="E862" s="295">
        <v>14607</v>
      </c>
      <c r="F862" s="296">
        <v>3550</v>
      </c>
      <c r="G862" s="297">
        <v>120000</v>
      </c>
      <c r="H862" s="298">
        <f t="shared" si="13"/>
        <v>126000</v>
      </c>
    </row>
    <row r="863" spans="1:8" x14ac:dyDescent="0.2">
      <c r="A863" s="293" t="s">
        <v>832</v>
      </c>
      <c r="B863" s="488">
        <v>215</v>
      </c>
      <c r="C863" s="488">
        <v>215</v>
      </c>
      <c r="D863" s="294" t="s">
        <v>348</v>
      </c>
      <c r="E863" s="295">
        <v>14607</v>
      </c>
      <c r="F863" s="296">
        <v>4894</v>
      </c>
      <c r="G863" s="297">
        <v>156000</v>
      </c>
      <c r="H863" s="298">
        <f t="shared" si="13"/>
        <v>163800</v>
      </c>
    </row>
    <row r="864" spans="1:8" x14ac:dyDescent="0.2">
      <c r="A864" s="293" t="s">
        <v>963</v>
      </c>
      <c r="B864" s="488">
        <v>327</v>
      </c>
      <c r="C864" s="488">
        <v>327</v>
      </c>
      <c r="D864" s="294" t="s">
        <v>348</v>
      </c>
      <c r="E864" s="295">
        <v>14607</v>
      </c>
      <c r="F864" s="296">
        <v>6250</v>
      </c>
      <c r="G864" s="297">
        <v>208000</v>
      </c>
      <c r="H864" s="298">
        <f t="shared" si="13"/>
        <v>218400</v>
      </c>
    </row>
    <row r="865" spans="1:8" x14ac:dyDescent="0.2">
      <c r="A865" s="293" t="s">
        <v>850</v>
      </c>
      <c r="B865" s="488">
        <v>198</v>
      </c>
      <c r="C865" s="488">
        <v>198</v>
      </c>
      <c r="D865" s="294" t="s">
        <v>368</v>
      </c>
      <c r="E865" s="295">
        <v>14607</v>
      </c>
      <c r="F865" s="296">
        <v>1538</v>
      </c>
      <c r="G865" s="297">
        <v>55000</v>
      </c>
      <c r="H865" s="298">
        <f t="shared" si="13"/>
        <v>57750</v>
      </c>
    </row>
    <row r="866" spans="1:8" x14ac:dyDescent="0.2">
      <c r="A866" s="293" t="s">
        <v>964</v>
      </c>
      <c r="B866" s="488">
        <v>266</v>
      </c>
      <c r="C866" s="488">
        <v>270</v>
      </c>
      <c r="D866" s="294" t="s">
        <v>352</v>
      </c>
      <c r="E866" s="295">
        <v>14607</v>
      </c>
      <c r="F866" s="296">
        <v>10671</v>
      </c>
      <c r="G866" s="297">
        <v>110800</v>
      </c>
      <c r="H866" s="298">
        <f t="shared" si="13"/>
        <v>116340</v>
      </c>
    </row>
    <row r="867" spans="1:8" x14ac:dyDescent="0.2">
      <c r="A867" s="293" t="s">
        <v>965</v>
      </c>
      <c r="B867" s="488">
        <v>10</v>
      </c>
      <c r="C867" s="488">
        <v>12</v>
      </c>
      <c r="D867" s="294" t="s">
        <v>464</v>
      </c>
      <c r="E867" s="295">
        <v>14607</v>
      </c>
      <c r="F867" s="296">
        <v>5161</v>
      </c>
      <c r="G867" s="297">
        <v>137000</v>
      </c>
      <c r="H867" s="298">
        <f t="shared" si="13"/>
        <v>143850</v>
      </c>
    </row>
    <row r="868" spans="1:8" x14ac:dyDescent="0.2">
      <c r="A868" s="293" t="s">
        <v>646</v>
      </c>
      <c r="B868" s="488">
        <v>30</v>
      </c>
      <c r="C868" s="488">
        <v>32</v>
      </c>
      <c r="D868" s="294" t="s">
        <v>341</v>
      </c>
      <c r="E868" s="295">
        <v>14607</v>
      </c>
      <c r="F868" s="296">
        <v>79279</v>
      </c>
      <c r="G868" s="297">
        <v>3805500</v>
      </c>
      <c r="H868" s="298">
        <f t="shared" si="13"/>
        <v>3995775</v>
      </c>
    </row>
    <row r="869" spans="1:8" x14ac:dyDescent="0.2">
      <c r="A869" s="293" t="s">
        <v>664</v>
      </c>
      <c r="B869" s="488">
        <v>28</v>
      </c>
      <c r="C869" s="488">
        <v>30</v>
      </c>
      <c r="D869" s="294" t="s">
        <v>410</v>
      </c>
      <c r="E869" s="295">
        <v>14605</v>
      </c>
      <c r="F869" s="302">
        <v>3995</v>
      </c>
      <c r="G869" s="303">
        <v>232000</v>
      </c>
      <c r="H869" s="304">
        <f t="shared" si="13"/>
        <v>243600</v>
      </c>
    </row>
    <row r="870" spans="1:8" x14ac:dyDescent="0.2">
      <c r="A870" s="305"/>
      <c r="B870" s="305"/>
      <c r="C870" s="305"/>
      <c r="D870" s="305"/>
      <c r="E870" s="306"/>
      <c r="F870" s="307" t="s">
        <v>966</v>
      </c>
      <c r="G870" s="308">
        <f>SUM(G7:G869)</f>
        <v>334837405</v>
      </c>
      <c r="H870" s="309">
        <f>SUM(H7:H869)-SUM(G7:G869)</f>
        <v>16741870.25</v>
      </c>
    </row>
  </sheetData>
  <mergeCells count="1">
    <mergeCell ref="B4:E4"/>
  </mergeCells>
  <printOptions horizontalCentered="1"/>
  <pageMargins left="0.7" right="0.7" top="0.75" bottom="0.75" header="0.3" footer="0.3"/>
  <pageSetup scale="7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M92"/>
  <sheetViews>
    <sheetView showGridLines="0" view="pageBreakPreview" zoomScale="60" zoomScaleNormal="100" workbookViewId="0">
      <selection activeCell="G10" sqref="G10"/>
    </sheetView>
  </sheetViews>
  <sheetFormatPr defaultRowHeight="14.25" x14ac:dyDescent="0.2"/>
  <cols>
    <col min="1" max="1" width="3.7109375" style="76" customWidth="1"/>
    <col min="2" max="2" width="24.5703125" style="315" customWidth="1"/>
    <col min="3" max="3" width="11.7109375" style="315" customWidth="1"/>
    <col min="4" max="5" width="17.7109375" style="315" customWidth="1"/>
    <col min="6" max="6" width="13.28515625" style="315" customWidth="1"/>
    <col min="7" max="7" width="13.140625" style="76" customWidth="1"/>
    <col min="8" max="8" width="13.42578125" style="76" customWidth="1"/>
    <col min="9" max="9" width="8.7109375" style="76" customWidth="1"/>
    <col min="10" max="13" width="14.140625" style="76" customWidth="1"/>
    <col min="14" max="16384" width="9.140625" style="76"/>
  </cols>
  <sheetData>
    <row r="1" spans="2:5" x14ac:dyDescent="0.2">
      <c r="B1" s="2" t="s">
        <v>13</v>
      </c>
    </row>
    <row r="2" spans="2:5" x14ac:dyDescent="0.2">
      <c r="B2" s="76" t="s">
        <v>191</v>
      </c>
    </row>
    <row r="3" spans="2:5" x14ac:dyDescent="0.2">
      <c r="B3" s="315" t="s">
        <v>967</v>
      </c>
    </row>
    <row r="6" spans="2:5" ht="42.75" x14ac:dyDescent="0.2">
      <c r="B6" s="457" t="s">
        <v>968</v>
      </c>
      <c r="C6" s="457" t="s">
        <v>969</v>
      </c>
      <c r="D6" s="457" t="s">
        <v>970</v>
      </c>
      <c r="E6" s="458"/>
    </row>
    <row r="7" spans="2:5" x14ac:dyDescent="0.2">
      <c r="B7" s="315" t="s">
        <v>971</v>
      </c>
      <c r="C7" s="315">
        <v>3</v>
      </c>
      <c r="D7" s="315">
        <v>1000</v>
      </c>
    </row>
    <row r="8" spans="2:5" x14ac:dyDescent="0.2">
      <c r="B8" s="315" t="s">
        <v>972</v>
      </c>
      <c r="C8" s="315">
        <v>3</v>
      </c>
      <c r="D8" s="315">
        <v>1000</v>
      </c>
    </row>
    <row r="9" spans="2:5" x14ac:dyDescent="0.2">
      <c r="B9" s="315" t="s">
        <v>973</v>
      </c>
    </row>
    <row r="10" spans="2:5" x14ac:dyDescent="0.2">
      <c r="B10" s="317" t="s">
        <v>974</v>
      </c>
      <c r="C10" s="315">
        <v>1</v>
      </c>
    </row>
    <row r="11" spans="2:5" x14ac:dyDescent="0.2">
      <c r="B11" s="317" t="s">
        <v>975</v>
      </c>
      <c r="C11" s="315">
        <v>1</v>
      </c>
    </row>
    <row r="12" spans="2:5" x14ac:dyDescent="0.2">
      <c r="B12" s="317" t="s">
        <v>976</v>
      </c>
      <c r="C12" s="315">
        <v>2</v>
      </c>
    </row>
    <row r="13" spans="2:5" x14ac:dyDescent="0.2">
      <c r="B13" s="317" t="s">
        <v>977</v>
      </c>
      <c r="C13" s="315">
        <v>2.5</v>
      </c>
    </row>
    <row r="14" spans="2:5" x14ac:dyDescent="0.2">
      <c r="B14" s="317" t="s">
        <v>978</v>
      </c>
      <c r="C14" s="315">
        <v>2</v>
      </c>
    </row>
    <row r="15" spans="2:5" x14ac:dyDescent="0.2">
      <c r="B15" s="318" t="s">
        <v>979</v>
      </c>
      <c r="C15" s="318"/>
      <c r="D15" s="318" t="s">
        <v>980</v>
      </c>
    </row>
    <row r="18" spans="2:13" x14ac:dyDescent="0.2">
      <c r="B18" s="319"/>
      <c r="C18" s="626" t="s">
        <v>981</v>
      </c>
      <c r="D18" s="626"/>
      <c r="E18" s="627" t="s">
        <v>982</v>
      </c>
    </row>
    <row r="19" spans="2:13" x14ac:dyDescent="0.2">
      <c r="B19" s="320"/>
      <c r="C19" s="321" t="s">
        <v>983</v>
      </c>
      <c r="D19" s="321" t="s">
        <v>984</v>
      </c>
      <c r="E19" s="628"/>
      <c r="M19" s="322"/>
    </row>
    <row r="20" spans="2:13" x14ac:dyDescent="0.2">
      <c r="B20" s="323" t="s">
        <v>985</v>
      </c>
    </row>
    <row r="21" spans="2:13" x14ac:dyDescent="0.2">
      <c r="B21" s="315" t="s">
        <v>986</v>
      </c>
      <c r="C21" s="324">
        <v>550</v>
      </c>
      <c r="D21" s="324">
        <f>C21/$E$32</f>
        <v>647.05882352941182</v>
      </c>
      <c r="E21" s="325">
        <v>0.1</v>
      </c>
    </row>
    <row r="22" spans="2:13" x14ac:dyDescent="0.2">
      <c r="B22" s="315" t="s">
        <v>975</v>
      </c>
      <c r="C22" s="324">
        <v>725</v>
      </c>
      <c r="D22" s="324">
        <f>C22/$E$32</f>
        <v>852.94117647058829</v>
      </c>
      <c r="E22" s="325">
        <v>0.5</v>
      </c>
    </row>
    <row r="23" spans="2:13" x14ac:dyDescent="0.2">
      <c r="B23" s="315" t="s">
        <v>976</v>
      </c>
      <c r="C23" s="324">
        <v>1000</v>
      </c>
      <c r="D23" s="324">
        <f>C23/$E$32</f>
        <v>1176.4705882352941</v>
      </c>
      <c r="E23" s="325">
        <v>0.25</v>
      </c>
    </row>
    <row r="24" spans="2:13" x14ac:dyDescent="0.2">
      <c r="B24" s="315" t="s">
        <v>977</v>
      </c>
      <c r="C24" s="324">
        <v>1250</v>
      </c>
      <c r="D24" s="324">
        <f>C24/$E$32</f>
        <v>1470.5882352941178</v>
      </c>
      <c r="E24" s="325">
        <v>0.15</v>
      </c>
    </row>
    <row r="25" spans="2:13" ht="4.5" customHeight="1" x14ac:dyDescent="0.2">
      <c r="C25" s="324"/>
      <c r="D25" s="324"/>
      <c r="G25" s="326"/>
    </row>
    <row r="26" spans="2:13" x14ac:dyDescent="0.2">
      <c r="B26" s="323" t="s">
        <v>987</v>
      </c>
      <c r="C26" s="324"/>
      <c r="D26" s="324"/>
      <c r="G26" s="326"/>
    </row>
    <row r="27" spans="2:13" x14ac:dyDescent="0.2">
      <c r="B27" s="315" t="s">
        <v>974</v>
      </c>
      <c r="C27" s="327" t="s">
        <v>988</v>
      </c>
      <c r="D27" s="327" t="s">
        <v>988</v>
      </c>
      <c r="E27" s="325">
        <v>0</v>
      </c>
      <c r="G27" s="326"/>
    </row>
    <row r="28" spans="2:13" x14ac:dyDescent="0.2">
      <c r="B28" s="315" t="s">
        <v>975</v>
      </c>
      <c r="C28" s="324">
        <v>850</v>
      </c>
      <c r="D28" s="324">
        <f>C28/$E$32</f>
        <v>1000</v>
      </c>
      <c r="E28" s="325">
        <f>1/3</f>
        <v>0.33333333333333331</v>
      </c>
      <c r="G28" s="326"/>
    </row>
    <row r="29" spans="2:13" x14ac:dyDescent="0.2">
      <c r="B29" s="315" t="s">
        <v>976</v>
      </c>
      <c r="C29" s="324">
        <v>1200</v>
      </c>
      <c r="D29" s="324">
        <f>C29/$E$32</f>
        <v>1411.7647058823529</v>
      </c>
      <c r="E29" s="325">
        <f t="shared" ref="E29:E30" si="0">1/3</f>
        <v>0.33333333333333331</v>
      </c>
      <c r="G29" s="326"/>
    </row>
    <row r="30" spans="2:13" x14ac:dyDescent="0.2">
      <c r="B30" s="315" t="s">
        <v>977</v>
      </c>
      <c r="C30" s="324">
        <v>1500</v>
      </c>
      <c r="D30" s="324">
        <f>C30/$E$32</f>
        <v>1764.7058823529412</v>
      </c>
      <c r="E30" s="325">
        <f t="shared" si="0"/>
        <v>0.33333333333333331</v>
      </c>
      <c r="G30" s="326"/>
    </row>
    <row r="31" spans="2:13" x14ac:dyDescent="0.2">
      <c r="B31" s="315" t="s">
        <v>978</v>
      </c>
      <c r="C31" s="324">
        <v>2200</v>
      </c>
      <c r="D31" s="324">
        <v>2200</v>
      </c>
      <c r="G31" s="326"/>
    </row>
    <row r="32" spans="2:13" x14ac:dyDescent="0.2">
      <c r="B32" s="318" t="s">
        <v>989</v>
      </c>
      <c r="E32" s="315">
        <v>0.85</v>
      </c>
    </row>
    <row r="33" spans="2:7" x14ac:dyDescent="0.2">
      <c r="B33" s="318"/>
    </row>
    <row r="35" spans="2:7" x14ac:dyDescent="0.2">
      <c r="B35" s="316" t="s">
        <v>990</v>
      </c>
      <c r="C35" s="316"/>
      <c r="D35" s="316" t="s">
        <v>991</v>
      </c>
      <c r="E35" s="316" t="s">
        <v>992</v>
      </c>
      <c r="F35" s="316" t="s">
        <v>993</v>
      </c>
    </row>
    <row r="36" spans="2:7" x14ac:dyDescent="0.2">
      <c r="B36" s="315" t="s">
        <v>994</v>
      </c>
      <c r="D36" s="315">
        <v>15</v>
      </c>
      <c r="E36" s="315">
        <v>23</v>
      </c>
      <c r="F36" s="315" t="s">
        <v>995</v>
      </c>
    </row>
    <row r="37" spans="2:7" x14ac:dyDescent="0.2">
      <c r="B37" s="315" t="s">
        <v>996</v>
      </c>
      <c r="D37" s="315">
        <v>130</v>
      </c>
      <c r="E37" s="315">
        <v>195</v>
      </c>
      <c r="F37" s="315" t="s">
        <v>995</v>
      </c>
    </row>
    <row r="38" spans="2:7" x14ac:dyDescent="0.2">
      <c r="B38" s="315" t="s">
        <v>997</v>
      </c>
      <c r="D38" s="324">
        <v>15000</v>
      </c>
      <c r="E38" s="324">
        <v>30000</v>
      </c>
      <c r="F38" s="315" t="s">
        <v>995</v>
      </c>
    </row>
    <row r="39" spans="2:7" x14ac:dyDescent="0.2">
      <c r="B39" s="315" t="s">
        <v>998</v>
      </c>
      <c r="D39" s="629">
        <v>167000</v>
      </c>
      <c r="E39" s="629"/>
      <c r="F39" s="315" t="s">
        <v>999</v>
      </c>
    </row>
    <row r="40" spans="2:7" x14ac:dyDescent="0.2">
      <c r="B40" s="76"/>
      <c r="C40" s="76"/>
      <c r="D40" s="76"/>
      <c r="E40" s="76"/>
      <c r="F40" s="76"/>
    </row>
    <row r="43" spans="2:7" x14ac:dyDescent="0.2">
      <c r="B43" s="630" t="s">
        <v>1000</v>
      </c>
      <c r="C43" s="328" t="s">
        <v>1001</v>
      </c>
      <c r="D43" s="328"/>
      <c r="E43" s="630" t="s">
        <v>1002</v>
      </c>
    </row>
    <row r="44" spans="2:7" x14ac:dyDescent="0.2">
      <c r="B44" s="631"/>
      <c r="C44" s="329" t="s">
        <v>1003</v>
      </c>
      <c r="D44" s="330" t="s">
        <v>1004</v>
      </c>
      <c r="E44" s="631"/>
    </row>
    <row r="45" spans="2:7" x14ac:dyDescent="0.2">
      <c r="B45" s="331">
        <v>1</v>
      </c>
      <c r="C45" s="324">
        <f>0.36*43560</f>
        <v>15681.599999999999</v>
      </c>
      <c r="D45" s="332">
        <f>C45/43560</f>
        <v>0.36</v>
      </c>
      <c r="E45" s="459" t="s">
        <v>1005</v>
      </c>
      <c r="F45" s="459"/>
      <c r="G45" s="459"/>
    </row>
    <row r="46" spans="2:7" x14ac:dyDescent="0.2">
      <c r="B46" s="331">
        <v>2</v>
      </c>
      <c r="C46" s="324">
        <f>0.3*43560</f>
        <v>13068</v>
      </c>
      <c r="D46" s="332">
        <f t="shared" ref="D46:D53" si="1">C46/43560</f>
        <v>0.3</v>
      </c>
      <c r="E46" s="459" t="s">
        <v>1005</v>
      </c>
      <c r="F46" s="459"/>
      <c r="G46" s="459"/>
    </row>
    <row r="47" spans="2:7" x14ac:dyDescent="0.2">
      <c r="B47" s="331">
        <v>3</v>
      </c>
      <c r="C47" s="324">
        <f>0.39*43560</f>
        <v>16988.400000000001</v>
      </c>
      <c r="D47" s="332">
        <f t="shared" si="1"/>
        <v>0.39</v>
      </c>
      <c r="E47" s="459" t="s">
        <v>1005</v>
      </c>
      <c r="F47" s="459"/>
      <c r="G47" s="459"/>
    </row>
    <row r="48" spans="2:7" x14ac:dyDescent="0.2">
      <c r="B48" s="331">
        <v>4</v>
      </c>
      <c r="C48" s="324">
        <f>0.25*43560</f>
        <v>10890</v>
      </c>
      <c r="D48" s="332">
        <f t="shared" si="1"/>
        <v>0.25</v>
      </c>
      <c r="E48" s="459" t="s">
        <v>1005</v>
      </c>
      <c r="F48" s="459"/>
      <c r="G48" s="459"/>
    </row>
    <row r="49" spans="2:7" x14ac:dyDescent="0.2">
      <c r="B49" s="331">
        <v>5</v>
      </c>
      <c r="C49" s="324">
        <f>1.48*43560</f>
        <v>64468.799999999996</v>
      </c>
      <c r="D49" s="332">
        <f t="shared" si="1"/>
        <v>1.48</v>
      </c>
      <c r="E49" s="459" t="s">
        <v>1005</v>
      </c>
      <c r="F49" s="459"/>
      <c r="G49" s="459"/>
    </row>
    <row r="50" spans="2:7" x14ac:dyDescent="0.2">
      <c r="B50" s="331">
        <v>6</v>
      </c>
      <c r="C50" s="324">
        <f>578.98*111.36</f>
        <v>64475.212800000001</v>
      </c>
      <c r="D50" s="332">
        <f t="shared" si="1"/>
        <v>1.4801472176308541</v>
      </c>
      <c r="E50" s="459" t="s">
        <v>1005</v>
      </c>
      <c r="F50" s="459"/>
      <c r="G50" s="459"/>
    </row>
    <row r="51" spans="2:7" x14ac:dyDescent="0.2">
      <c r="B51" s="331">
        <v>7</v>
      </c>
      <c r="C51" s="324">
        <f>0.73*43560</f>
        <v>31798.799999999999</v>
      </c>
      <c r="D51" s="332">
        <f t="shared" si="1"/>
        <v>0.73</v>
      </c>
      <c r="E51" s="459" t="s">
        <v>1005</v>
      </c>
      <c r="F51" s="459"/>
      <c r="G51" s="459"/>
    </row>
    <row r="52" spans="2:7" x14ac:dyDescent="0.2">
      <c r="B52" s="331">
        <v>8</v>
      </c>
      <c r="C52" s="324">
        <f>1.59*43560</f>
        <v>69260.400000000009</v>
      </c>
      <c r="D52" s="332">
        <f t="shared" si="1"/>
        <v>1.5900000000000003</v>
      </c>
      <c r="E52" s="459" t="s">
        <v>1005</v>
      </c>
      <c r="F52" s="459"/>
      <c r="G52" s="459"/>
    </row>
    <row r="53" spans="2:7" x14ac:dyDescent="0.2">
      <c r="B53" s="333">
        <v>9</v>
      </c>
      <c r="C53" s="334">
        <f>2.27*43560</f>
        <v>98881.2</v>
      </c>
      <c r="D53" s="335">
        <f t="shared" si="1"/>
        <v>2.27</v>
      </c>
      <c r="E53" s="459" t="s">
        <v>1005</v>
      </c>
      <c r="F53" s="459"/>
      <c r="G53" s="459"/>
    </row>
    <row r="54" spans="2:7" x14ac:dyDescent="0.2">
      <c r="B54" s="315" t="s">
        <v>6</v>
      </c>
      <c r="C54" s="336">
        <f>SUM(C45:C53)</f>
        <v>385512.41279999999</v>
      </c>
      <c r="D54" s="337">
        <f>SUM(D45:D53)</f>
        <v>8.8501472176308535</v>
      </c>
    </row>
    <row r="55" spans="2:7" x14ac:dyDescent="0.2">
      <c r="E55" s="338"/>
    </row>
    <row r="58" spans="2:7" x14ac:dyDescent="0.2">
      <c r="B58" s="339" t="s">
        <v>990</v>
      </c>
      <c r="C58" s="340" t="s">
        <v>1003</v>
      </c>
      <c r="D58" s="340" t="s">
        <v>1006</v>
      </c>
      <c r="E58" s="340" t="s">
        <v>1003</v>
      </c>
      <c r="F58" s="340" t="s">
        <v>1006</v>
      </c>
    </row>
    <row r="59" spans="2:7" x14ac:dyDescent="0.2">
      <c r="C59" s="624" t="s">
        <v>1007</v>
      </c>
      <c r="D59" s="624"/>
      <c r="E59" s="624" t="s">
        <v>1008</v>
      </c>
      <c r="F59" s="624"/>
    </row>
    <row r="60" spans="2:7" x14ac:dyDescent="0.2">
      <c r="B60" s="315" t="str">
        <f>'Dev Program Opt 2'!C37</f>
        <v>Resi For Sale</v>
      </c>
      <c r="C60" s="324">
        <f>'Dev Program Opt 1'!D38</f>
        <v>27300</v>
      </c>
      <c r="D60" s="315">
        <f>'Dev Program Opt 1'!E38</f>
        <v>13</v>
      </c>
      <c r="E60" s="324">
        <f>'Dev Program Opt 2'!D37</f>
        <v>73452</v>
      </c>
      <c r="F60" s="341">
        <f>'Dev Program Opt 2'!E37</f>
        <v>47.998599999999996</v>
      </c>
    </row>
    <row r="61" spans="2:7" x14ac:dyDescent="0.2">
      <c r="B61" s="315" t="str">
        <f>'Dev Program Opt 2'!C38</f>
        <v>Resi Rental</v>
      </c>
      <c r="C61" s="324">
        <f>'Dev Program Opt 1'!D39</f>
        <v>275072.76</v>
      </c>
      <c r="D61" s="341">
        <f>'Dev Program Opt 1'!E39</f>
        <v>290.27117671279001</v>
      </c>
      <c r="E61" s="324">
        <f>'Dev Program Opt 2'!D38</f>
        <v>546800</v>
      </c>
      <c r="F61" s="341">
        <f>'Dev Program Opt 2'!E38</f>
        <v>577.01198557993723</v>
      </c>
    </row>
    <row r="62" spans="2:7" x14ac:dyDescent="0.2">
      <c r="B62" s="315" t="str">
        <f>'Dev Program Opt 2'!C39</f>
        <v>Retail</v>
      </c>
      <c r="C62" s="324">
        <f>'Dev Program Opt 1'!D40</f>
        <v>53660</v>
      </c>
      <c r="D62" s="342">
        <f>'Dev Program Opt 1'!E40</f>
        <v>0</v>
      </c>
      <c r="E62" s="327">
        <f>'Dev Program Opt 2'!D39</f>
        <v>89490</v>
      </c>
      <c r="F62" s="342">
        <f>'Dev Program Opt 2'!E39</f>
        <v>0</v>
      </c>
    </row>
    <row r="63" spans="2:7" x14ac:dyDescent="0.2">
      <c r="B63" s="323" t="str">
        <f>'Dev Program Opt 2'!C40</f>
        <v>Office</v>
      </c>
      <c r="C63" s="334">
        <f>'Dev Program Opt 1'!D41</f>
        <v>71880</v>
      </c>
      <c r="D63" s="343">
        <f>'Dev Program Opt 1'!E41</f>
        <v>0</v>
      </c>
      <c r="E63" s="344">
        <f>'Dev Program Opt 2'!D40</f>
        <v>85320</v>
      </c>
      <c r="F63" s="343">
        <f>'Dev Program Opt 2'!E40</f>
        <v>0</v>
      </c>
    </row>
    <row r="64" spans="2:7" x14ac:dyDescent="0.2">
      <c r="B64" s="315" t="str">
        <f>'Dev Program Opt 2'!C41</f>
        <v>Total</v>
      </c>
      <c r="C64" s="324">
        <f>'Dev Program Opt 1'!D42</f>
        <v>427912.76</v>
      </c>
      <c r="D64" s="341">
        <f>'Dev Program Opt 1'!E42</f>
        <v>303.27117671279001</v>
      </c>
      <c r="E64" s="324">
        <f>'Dev Program Opt 2'!D41</f>
        <v>795062</v>
      </c>
      <c r="F64" s="341">
        <f>'Dev Program Opt 2'!E41</f>
        <v>625.01058557993724</v>
      </c>
    </row>
    <row r="65" spans="2:9" x14ac:dyDescent="0.2">
      <c r="C65" s="324"/>
      <c r="D65" s="341"/>
      <c r="E65" s="324"/>
      <c r="F65" s="341"/>
    </row>
    <row r="66" spans="2:9" x14ac:dyDescent="0.2">
      <c r="C66" s="324"/>
      <c r="D66" s="341"/>
      <c r="E66" s="324"/>
      <c r="F66" s="341"/>
    </row>
    <row r="68" spans="2:9" ht="53.25" customHeight="1" x14ac:dyDescent="0.2">
      <c r="B68" s="339" t="s">
        <v>1009</v>
      </c>
      <c r="C68" s="345" t="s">
        <v>1010</v>
      </c>
      <c r="D68" s="345" t="s">
        <v>1011</v>
      </c>
      <c r="E68" s="345" t="s">
        <v>1012</v>
      </c>
      <c r="F68" s="345" t="s">
        <v>1013</v>
      </c>
      <c r="G68" s="345" t="s">
        <v>1012</v>
      </c>
      <c r="H68" s="345" t="s">
        <v>1014</v>
      </c>
      <c r="I68" s="17"/>
    </row>
    <row r="69" spans="2:9" x14ac:dyDescent="0.2">
      <c r="B69" s="315" t="str">
        <f>B36</f>
        <v>Residential For-Sale Units</v>
      </c>
      <c r="C69" s="315">
        <f>AVERAGE(D36:E36)</f>
        <v>19</v>
      </c>
      <c r="D69" s="346">
        <f>D60</f>
        <v>13</v>
      </c>
      <c r="E69" s="347">
        <f>D69/C69</f>
        <v>0.68421052631578949</v>
      </c>
      <c r="F69" s="348">
        <f>F60</f>
        <v>47.998599999999996</v>
      </c>
      <c r="G69" s="349">
        <f>F69/C69</f>
        <v>2.5262421052631576</v>
      </c>
      <c r="H69" s="350">
        <f>(G69+E69)/2</f>
        <v>1.6052263157894735</v>
      </c>
    </row>
    <row r="70" spans="2:9" x14ac:dyDescent="0.2">
      <c r="B70" s="315" t="str">
        <f>B37</f>
        <v>Residential Rental Units</v>
      </c>
      <c r="C70" s="315">
        <f>AVERAGE(D37:E37)</f>
        <v>162.5</v>
      </c>
      <c r="D70" s="351">
        <f>D61</f>
        <v>290.27117671279001</v>
      </c>
      <c r="E70" s="352">
        <f t="shared" ref="E70:E72" si="2">D70/C70</f>
        <v>1.7862841643864</v>
      </c>
      <c r="F70" s="353">
        <f>F61</f>
        <v>577.01198557993723</v>
      </c>
      <c r="G70" s="354">
        <f>F70/C70</f>
        <v>3.5508429881842289</v>
      </c>
      <c r="H70" s="355">
        <f t="shared" ref="H70:H72" si="3">(G70+E70)/2</f>
        <v>2.6685635762853144</v>
      </c>
    </row>
    <row r="71" spans="2:9" x14ac:dyDescent="0.2">
      <c r="B71" s="315" t="str">
        <f>B38</f>
        <v>Office (SF)</v>
      </c>
      <c r="C71" s="315">
        <f>AVERAGE(D38:E38)</f>
        <v>22500</v>
      </c>
      <c r="D71" s="351">
        <f>C63</f>
        <v>71880</v>
      </c>
      <c r="E71" s="352">
        <f t="shared" si="2"/>
        <v>3.1946666666666665</v>
      </c>
      <c r="F71" s="353">
        <f>E63</f>
        <v>85320</v>
      </c>
      <c r="G71" s="354">
        <f>F71/C71</f>
        <v>3.7919999999999998</v>
      </c>
      <c r="H71" s="355">
        <f t="shared" si="3"/>
        <v>3.4933333333333332</v>
      </c>
    </row>
    <row r="72" spans="2:9" x14ac:dyDescent="0.2">
      <c r="B72" s="315" t="str">
        <f>B39</f>
        <v>Retail (SF)</v>
      </c>
      <c r="C72" s="315">
        <f>AVERAGE(D39:E39)</f>
        <v>167000</v>
      </c>
      <c r="D72" s="351">
        <f>C62</f>
        <v>53660</v>
      </c>
      <c r="E72" s="352">
        <f t="shared" si="2"/>
        <v>0.32131736526946109</v>
      </c>
      <c r="F72" s="353">
        <f>E63</f>
        <v>85320</v>
      </c>
      <c r="G72" s="354">
        <f>F72/C72</f>
        <v>0.51089820359281435</v>
      </c>
      <c r="H72" s="355">
        <f t="shared" si="3"/>
        <v>0.41610778443113772</v>
      </c>
    </row>
    <row r="73" spans="2:9" x14ac:dyDescent="0.2">
      <c r="B73" s="76"/>
      <c r="C73" s="76"/>
      <c r="D73" s="76"/>
    </row>
    <row r="86" spans="2:6" x14ac:dyDescent="0.2">
      <c r="B86" s="288" t="s">
        <v>968</v>
      </c>
      <c r="C86" s="625" t="s">
        <v>1015</v>
      </c>
      <c r="D86" s="625"/>
      <c r="E86" s="625" t="s">
        <v>1016</v>
      </c>
      <c r="F86" s="625"/>
    </row>
    <row r="87" spans="2:6" ht="28.5" x14ac:dyDescent="0.2">
      <c r="B87" s="76"/>
      <c r="C87" s="356" t="s">
        <v>1017</v>
      </c>
      <c r="D87" s="356" t="s">
        <v>1018</v>
      </c>
      <c r="E87" s="356" t="s">
        <v>1017</v>
      </c>
      <c r="F87" s="356" t="s">
        <v>1018</v>
      </c>
    </row>
    <row r="88" spans="2:6" x14ac:dyDescent="0.2">
      <c r="B88" s="76" t="str">
        <f>'Scen 1 Proforma'!B19</f>
        <v>Resi For Sale</v>
      </c>
      <c r="C88" s="357">
        <f>'Scen 1 Proforma'!E19</f>
        <v>6.3798050798952566E-2</v>
      </c>
      <c r="D88" s="358">
        <f>ROUND('Scen 1 Proforma'!Q8,-3)</f>
        <v>432000</v>
      </c>
      <c r="E88" s="326">
        <f>'Scen 2 Proforma'!E19</f>
        <v>9.2385247942927726E-2</v>
      </c>
      <c r="F88" s="358">
        <f>ROUND('Scen 2 Proforma'!Q8,-3)</f>
        <v>1117000</v>
      </c>
    </row>
    <row r="89" spans="2:6" x14ac:dyDescent="0.2">
      <c r="B89" s="76" t="str">
        <f>'Scen 1 Proforma'!B20</f>
        <v>Resi Rental</v>
      </c>
      <c r="C89" s="357">
        <f>'Scen 1 Proforma'!E20</f>
        <v>0.6428243925233732</v>
      </c>
      <c r="D89" s="358">
        <f>ROUND('Scen 1 Proforma'!Q9,-3)</f>
        <v>5948000</v>
      </c>
      <c r="E89" s="326">
        <f>'Scen 2 Proforma'!E20</f>
        <v>0.68774510667092625</v>
      </c>
      <c r="F89" s="358">
        <f>ROUND('Scen 2 Proforma'!Q9,-3)</f>
        <v>5919000</v>
      </c>
    </row>
    <row r="90" spans="2:6" x14ac:dyDescent="0.2">
      <c r="B90" s="76" t="str">
        <f>'Scen 1 Proforma'!B21</f>
        <v>Retail</v>
      </c>
      <c r="C90" s="357">
        <f>'Scen 1 Proforma'!E21</f>
        <v>0.125399392156476</v>
      </c>
      <c r="D90" s="358">
        <f>ROUND('Scen 1 Proforma'!Q10,-3)</f>
        <v>2437000</v>
      </c>
      <c r="E90" s="326">
        <f>'Scen 2 Proforma'!E21</f>
        <v>0.11255725968540818</v>
      </c>
      <c r="F90" s="358">
        <f>ROUND('Scen 2 Proforma'!Q10,-3)</f>
        <v>629000</v>
      </c>
    </row>
    <row r="91" spans="2:6" x14ac:dyDescent="0.2">
      <c r="B91" s="76" t="str">
        <f>'Scen 1 Proforma'!B22</f>
        <v>Office</v>
      </c>
      <c r="C91" s="359">
        <f>'Scen 1 Proforma'!E22</f>
        <v>0.16797816452119821</v>
      </c>
      <c r="D91" s="360">
        <f>ROUND('Scen 1 Proforma'!Q11,-3)</f>
        <v>2736000</v>
      </c>
      <c r="E91" s="361">
        <f>'Scen 2 Proforma'!E22</f>
        <v>0.1073123857007378</v>
      </c>
      <c r="F91" s="360">
        <f>ROUND('Scen 2 Proforma'!Q11,-3)</f>
        <v>372000</v>
      </c>
    </row>
    <row r="92" spans="2:6" x14ac:dyDescent="0.2">
      <c r="B92" s="362" t="s">
        <v>6</v>
      </c>
      <c r="C92" s="357"/>
      <c r="D92" s="363">
        <f>SUM(D88:D91)</f>
        <v>11553000</v>
      </c>
      <c r="E92" s="326"/>
      <c r="F92" s="363">
        <f>SUM(F88:F91)</f>
        <v>8037000</v>
      </c>
    </row>
  </sheetData>
  <mergeCells count="9">
    <mergeCell ref="B43:B44"/>
    <mergeCell ref="E43:E44"/>
    <mergeCell ref="C59:D59"/>
    <mergeCell ref="E59:F59"/>
    <mergeCell ref="C86:D86"/>
    <mergeCell ref="E86:F86"/>
    <mergeCell ref="C18:D18"/>
    <mergeCell ref="E18:E19"/>
    <mergeCell ref="D39:E39"/>
  </mergeCells>
  <pageMargins left="0.7" right="0.7" top="0.75" bottom="0.75" header="0.3" footer="0.3"/>
  <pageSetup paperSize="3" scale="80"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25"/>
  <sheetViews>
    <sheetView showGridLines="0" view="pageBreakPreview" zoomScale="115" zoomScaleNormal="100" zoomScaleSheetLayoutView="115" workbookViewId="0">
      <selection activeCell="E4" sqref="E4"/>
    </sheetView>
  </sheetViews>
  <sheetFormatPr defaultRowHeight="14.25" x14ac:dyDescent="0.2"/>
  <cols>
    <col min="1" max="1" width="29.42578125" style="76" customWidth="1"/>
    <col min="2" max="2" width="9.140625" style="76"/>
    <col min="3" max="3" width="11.5703125" style="364" bestFit="1" customWidth="1"/>
    <col min="4" max="4" width="15.28515625" style="312" bestFit="1" customWidth="1"/>
    <col min="5" max="5" width="15.7109375" style="365" customWidth="1"/>
    <col min="6" max="6" width="9.140625" style="76"/>
    <col min="7" max="7" width="11.5703125" style="76" bestFit="1" customWidth="1"/>
    <col min="8" max="8" width="9.140625" style="76"/>
    <col min="9" max="9" width="11.5703125" style="76" bestFit="1" customWidth="1"/>
    <col min="10" max="16384" width="9.140625" style="76"/>
  </cols>
  <sheetData>
    <row r="1" spans="1:9" x14ac:dyDescent="0.2">
      <c r="A1" s="2" t="s">
        <v>13</v>
      </c>
    </row>
    <row r="2" spans="1:9" x14ac:dyDescent="0.2">
      <c r="A2" s="76" t="s">
        <v>191</v>
      </c>
    </row>
    <row r="3" spans="1:9" x14ac:dyDescent="0.2">
      <c r="A3" s="76" t="s">
        <v>1019</v>
      </c>
    </row>
    <row r="6" spans="1:9" x14ac:dyDescent="0.2">
      <c r="A6" s="366" t="s">
        <v>323</v>
      </c>
      <c r="B6" s="367">
        <v>14607</v>
      </c>
    </row>
    <row r="8" spans="1:9" x14ac:dyDescent="0.2">
      <c r="A8" s="288" t="s">
        <v>1020</v>
      </c>
      <c r="B8" s="288" t="s">
        <v>1021</v>
      </c>
      <c r="C8" s="368" t="s">
        <v>1003</v>
      </c>
      <c r="D8" s="369" t="s">
        <v>1022</v>
      </c>
      <c r="E8" s="370" t="s">
        <v>1023</v>
      </c>
    </row>
    <row r="9" spans="1:9" x14ac:dyDescent="0.2">
      <c r="B9" s="371"/>
    </row>
    <row r="10" spans="1:9" x14ac:dyDescent="0.2">
      <c r="A10" s="76" t="s">
        <v>1024</v>
      </c>
      <c r="B10" s="371" t="s">
        <v>1025</v>
      </c>
      <c r="C10" s="364">
        <v>100000</v>
      </c>
      <c r="D10" s="312">
        <v>12288600</v>
      </c>
      <c r="E10" s="365">
        <f>D10/C10</f>
        <v>122.886</v>
      </c>
    </row>
    <row r="11" spans="1:9" x14ac:dyDescent="0.2">
      <c r="A11" s="76" t="s">
        <v>1024</v>
      </c>
      <c r="B11" s="371" t="s">
        <v>1026</v>
      </c>
      <c r="C11" s="364">
        <v>100000</v>
      </c>
      <c r="D11" s="312">
        <v>14682600</v>
      </c>
      <c r="E11" s="365">
        <f t="shared" ref="E11:E16" si="0">D11/C11</f>
        <v>146.82599999999999</v>
      </c>
    </row>
    <row r="12" spans="1:9" x14ac:dyDescent="0.2">
      <c r="A12" s="76" t="s">
        <v>1027</v>
      </c>
      <c r="B12" s="371" t="s">
        <v>1028</v>
      </c>
      <c r="C12" s="364">
        <v>20000</v>
      </c>
      <c r="D12" s="312">
        <v>32000000</v>
      </c>
      <c r="E12" s="365">
        <v>160</v>
      </c>
    </row>
    <row r="13" spans="1:9" x14ac:dyDescent="0.2">
      <c r="B13" s="371"/>
    </row>
    <row r="14" spans="1:9" x14ac:dyDescent="0.2">
      <c r="A14" s="76" t="s">
        <v>1029</v>
      </c>
      <c r="B14" s="76">
        <v>1</v>
      </c>
      <c r="C14" s="364">
        <v>10000</v>
      </c>
      <c r="D14" s="312">
        <v>1016100</v>
      </c>
      <c r="E14" s="365">
        <v>110</v>
      </c>
      <c r="I14" s="372"/>
    </row>
    <row r="15" spans="1:9" x14ac:dyDescent="0.2">
      <c r="A15" s="76" t="s">
        <v>1029</v>
      </c>
      <c r="B15" s="76">
        <v>1</v>
      </c>
      <c r="C15" s="364">
        <v>20000</v>
      </c>
      <c r="D15" s="312">
        <v>1742850</v>
      </c>
      <c r="E15" s="365">
        <v>100</v>
      </c>
    </row>
    <row r="16" spans="1:9" x14ac:dyDescent="0.2">
      <c r="A16" s="76" t="s">
        <v>1030</v>
      </c>
      <c r="B16" s="76">
        <v>1</v>
      </c>
      <c r="C16" s="364">
        <v>30000</v>
      </c>
      <c r="D16" s="312">
        <v>3307050</v>
      </c>
      <c r="E16" s="365">
        <f t="shared" si="0"/>
        <v>110.235</v>
      </c>
    </row>
    <row r="19" spans="1:7" ht="16.5" x14ac:dyDescent="0.35">
      <c r="C19" s="373" t="s">
        <v>1031</v>
      </c>
      <c r="D19" s="374" t="s">
        <v>1032</v>
      </c>
    </row>
    <row r="20" spans="1:7" x14ac:dyDescent="0.2">
      <c r="A20" s="76" t="s">
        <v>1033</v>
      </c>
      <c r="C20" s="364">
        <v>15000</v>
      </c>
      <c r="D20" s="312">
        <f>C20/325</f>
        <v>46.153846153846153</v>
      </c>
    </row>
    <row r="21" spans="1:7" x14ac:dyDescent="0.2">
      <c r="A21" s="76" t="s">
        <v>1034</v>
      </c>
      <c r="C21" s="364">
        <v>3000</v>
      </c>
      <c r="D21" s="312">
        <f>C21/325</f>
        <v>9.2307692307692299</v>
      </c>
    </row>
    <row r="24" spans="1:7" x14ac:dyDescent="0.2">
      <c r="G24" s="375"/>
    </row>
    <row r="25" spans="1:7" x14ac:dyDescent="0.2">
      <c r="G25" s="375"/>
    </row>
  </sheetData>
  <pageMargins left="0.7" right="0.7" top="0.75" bottom="0.75" header="0.3" footer="0.3"/>
  <pageSetup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T60"/>
  <sheetViews>
    <sheetView showGridLines="0" view="pageBreakPreview" zoomScale="60" zoomScaleNormal="50" workbookViewId="0">
      <selection activeCell="K11" sqref="K11"/>
    </sheetView>
  </sheetViews>
  <sheetFormatPr defaultRowHeight="14.25" x14ac:dyDescent="0.2"/>
  <cols>
    <col min="1" max="1" width="3" style="76" customWidth="1"/>
    <col min="2" max="2" width="9.140625" style="76"/>
    <col min="3" max="3" width="8.7109375" style="76" customWidth="1"/>
    <col min="4" max="4" width="15" style="76" customWidth="1"/>
    <col min="5" max="5" width="16.5703125" style="376" customWidth="1"/>
    <col min="6" max="6" width="17" style="364" customWidth="1"/>
    <col min="7" max="7" width="15.28515625" style="364" customWidth="1"/>
    <col min="8" max="8" width="15.28515625" style="76" customWidth="1"/>
    <col min="9" max="9" width="13.140625" style="76" customWidth="1"/>
    <col min="10" max="10" width="17" style="76" customWidth="1"/>
    <col min="11" max="11" width="11.42578125" style="76" customWidth="1"/>
    <col min="12" max="12" width="21" style="364" customWidth="1"/>
    <col min="13" max="13" width="16.7109375" style="364" customWidth="1"/>
    <col min="14" max="14" width="18.5703125" style="364" customWidth="1"/>
    <col min="15" max="15" width="10.42578125" style="364" customWidth="1"/>
    <col min="16" max="18" width="8.5703125" style="364" customWidth="1"/>
    <col min="19" max="19" width="9.140625" style="76"/>
    <col min="20" max="20" width="27.7109375" style="76" customWidth="1"/>
    <col min="21" max="16384" width="9.140625" style="76"/>
  </cols>
  <sheetData>
    <row r="1" spans="2:18" x14ac:dyDescent="0.2">
      <c r="B1" s="2" t="s">
        <v>13</v>
      </c>
    </row>
    <row r="2" spans="2:18" x14ac:dyDescent="0.2">
      <c r="B2" s="76" t="s">
        <v>191</v>
      </c>
    </row>
    <row r="3" spans="2:18" x14ac:dyDescent="0.2">
      <c r="B3" s="76" t="s">
        <v>1035</v>
      </c>
    </row>
    <row r="5" spans="2:18" ht="15" thickBot="1" x14ac:dyDescent="0.25"/>
    <row r="6" spans="2:18" x14ac:dyDescent="0.2">
      <c r="B6" s="460"/>
      <c r="C6" s="460"/>
      <c r="D6" s="460"/>
      <c r="E6" s="461"/>
      <c r="F6" s="462"/>
      <c r="G6" s="462"/>
      <c r="H6" s="460"/>
      <c r="I6" s="460"/>
      <c r="J6" s="460"/>
      <c r="K6" s="460"/>
      <c r="L6" s="462"/>
      <c r="M6" s="462"/>
      <c r="N6" s="462"/>
      <c r="O6" s="632" t="s">
        <v>1036</v>
      </c>
      <c r="P6" s="632"/>
      <c r="Q6" s="632"/>
      <c r="R6" s="632"/>
    </row>
    <row r="7" spans="2:18" s="377" customFormat="1" ht="48" customHeight="1" thickBot="1" x14ac:dyDescent="0.3">
      <c r="B7" s="463" t="s">
        <v>1037</v>
      </c>
      <c r="C7" s="463"/>
      <c r="D7" s="463" t="s">
        <v>1038</v>
      </c>
      <c r="E7" s="465" t="s">
        <v>1039</v>
      </c>
      <c r="F7" s="464" t="s">
        <v>1040</v>
      </c>
      <c r="G7" s="464" t="s">
        <v>1041</v>
      </c>
      <c r="H7" s="463" t="s">
        <v>1042</v>
      </c>
      <c r="I7" s="463" t="s">
        <v>1043</v>
      </c>
      <c r="J7" s="463" t="s">
        <v>1044</v>
      </c>
      <c r="K7" s="463" t="s">
        <v>1045</v>
      </c>
      <c r="L7" s="464" t="s">
        <v>1046</v>
      </c>
      <c r="M7" s="464" t="s">
        <v>1047</v>
      </c>
      <c r="N7" s="464" t="s">
        <v>1048</v>
      </c>
      <c r="O7" s="464" t="s">
        <v>974</v>
      </c>
      <c r="P7" s="464" t="s">
        <v>1049</v>
      </c>
      <c r="Q7" s="464" t="s">
        <v>1050</v>
      </c>
      <c r="R7" s="464" t="s">
        <v>1051</v>
      </c>
    </row>
    <row r="8" spans="2:18" x14ac:dyDescent="0.2">
      <c r="B8" s="76">
        <v>1</v>
      </c>
      <c r="C8" s="76" t="s">
        <v>1052</v>
      </c>
      <c r="D8" s="76" t="s">
        <v>1053</v>
      </c>
      <c r="E8" s="364">
        <f>0.36*43560</f>
        <v>15681.599999999999</v>
      </c>
      <c r="F8" s="364">
        <f>700*13</f>
        <v>9100</v>
      </c>
      <c r="G8" s="364">
        <f>E8-F8</f>
        <v>6581.5999999999985</v>
      </c>
      <c r="H8" s="364"/>
      <c r="I8" s="76">
        <v>3</v>
      </c>
      <c r="J8" s="364">
        <f>I8*F8</f>
        <v>27300</v>
      </c>
      <c r="K8" s="378">
        <f>J8/E8</f>
        <v>1.740893786348332</v>
      </c>
      <c r="L8" s="364" t="s">
        <v>1054</v>
      </c>
      <c r="R8" s="364">
        <v>13</v>
      </c>
    </row>
    <row r="9" spans="2:18" x14ac:dyDescent="0.2">
      <c r="E9" s="364"/>
      <c r="H9" s="364"/>
      <c r="J9" s="364"/>
      <c r="K9" s="378"/>
    </row>
    <row r="10" spans="2:18" x14ac:dyDescent="0.2">
      <c r="B10" s="76">
        <v>2</v>
      </c>
      <c r="C10" s="76" t="s">
        <v>1052</v>
      </c>
      <c r="D10" s="76" t="s">
        <v>971</v>
      </c>
      <c r="E10" s="364">
        <f>0.3*43560</f>
        <v>13068</v>
      </c>
      <c r="F10" s="364">
        <v>5600</v>
      </c>
      <c r="G10" s="364">
        <f t="shared" ref="G10:G12" si="0">E10-F10</f>
        <v>7468</v>
      </c>
      <c r="H10" s="364"/>
      <c r="I10" s="76">
        <v>1</v>
      </c>
      <c r="J10" s="364">
        <f t="shared" ref="J10:J28" si="1">I10*F10</f>
        <v>5600</v>
      </c>
      <c r="K10" s="378">
        <f>J10/E10</f>
        <v>0.42852770125497397</v>
      </c>
      <c r="L10" s="364">
        <f>E10-F10</f>
        <v>7468</v>
      </c>
      <c r="M10" s="364">
        <f>F10*1/250</f>
        <v>22.4</v>
      </c>
      <c r="N10" s="364">
        <f>L10/325</f>
        <v>22.978461538461538</v>
      </c>
    </row>
    <row r="11" spans="2:18" x14ac:dyDescent="0.2">
      <c r="E11" s="364"/>
      <c r="H11" s="364"/>
      <c r="J11" s="364"/>
      <c r="K11" s="378"/>
    </row>
    <row r="12" spans="2:18" x14ac:dyDescent="0.2">
      <c r="B12" s="76">
        <v>3</v>
      </c>
      <c r="C12" s="76" t="s">
        <v>1052</v>
      </c>
      <c r="D12" s="76" t="s">
        <v>971</v>
      </c>
      <c r="E12" s="364">
        <f>0.39*43560</f>
        <v>16988.400000000001</v>
      </c>
      <c r="F12" s="364">
        <v>7400</v>
      </c>
      <c r="G12" s="364">
        <f t="shared" si="0"/>
        <v>9588.4000000000015</v>
      </c>
      <c r="H12" s="364"/>
      <c r="I12" s="76">
        <v>1</v>
      </c>
      <c r="J12" s="364">
        <f t="shared" ref="J12:J14" si="2">I12*F12</f>
        <v>7400</v>
      </c>
      <c r="K12" s="378">
        <f>J12/E12</f>
        <v>0.43559134468225374</v>
      </c>
      <c r="L12" s="364">
        <f>E12-F12</f>
        <v>9588.4000000000015</v>
      </c>
      <c r="M12" s="364">
        <f>F12*1/250</f>
        <v>29.6</v>
      </c>
      <c r="N12" s="364">
        <f>L12/325</f>
        <v>29.502769230769236</v>
      </c>
    </row>
    <row r="13" spans="2:18" x14ac:dyDescent="0.2">
      <c r="E13" s="364"/>
      <c r="H13" s="364"/>
      <c r="J13" s="364"/>
      <c r="K13" s="378"/>
    </row>
    <row r="14" spans="2:18" ht="14.25" customHeight="1" x14ac:dyDescent="0.2">
      <c r="B14" s="76">
        <v>4</v>
      </c>
      <c r="C14" s="76" t="s">
        <v>1052</v>
      </c>
      <c r="D14" s="76" t="s">
        <v>971</v>
      </c>
      <c r="E14" s="364">
        <f>0.25*43560</f>
        <v>10890</v>
      </c>
      <c r="F14" s="364">
        <v>4850</v>
      </c>
      <c r="G14" s="364">
        <f t="shared" ref="G14" si="3">E14-F14</f>
        <v>6040</v>
      </c>
      <c r="H14" s="364"/>
      <c r="I14" s="76">
        <v>1</v>
      </c>
      <c r="J14" s="364">
        <f t="shared" si="2"/>
        <v>4850</v>
      </c>
      <c r="K14" s="378">
        <f>J14/E14</f>
        <v>0.44536271808999084</v>
      </c>
      <c r="L14" s="364">
        <f>E14-F14</f>
        <v>6040</v>
      </c>
      <c r="M14" s="364">
        <f>F14*1/250</f>
        <v>19.399999999999999</v>
      </c>
      <c r="N14" s="364">
        <f>L14/325</f>
        <v>18.584615384615386</v>
      </c>
    </row>
    <row r="15" spans="2:18" ht="14.25" customHeight="1" x14ac:dyDescent="0.2">
      <c r="E15" s="364"/>
      <c r="H15" s="364"/>
      <c r="J15" s="364"/>
      <c r="K15" s="378"/>
    </row>
    <row r="16" spans="2:18" x14ac:dyDescent="0.2">
      <c r="B16" s="76">
        <v>5</v>
      </c>
      <c r="C16" s="76" t="s">
        <v>1052</v>
      </c>
      <c r="D16" s="76" t="s">
        <v>1055</v>
      </c>
      <c r="E16" s="364">
        <f>1.48*43560</f>
        <v>64468.799999999996</v>
      </c>
      <c r="F16" s="364">
        <f>((305*60)+(110*60)+(22*60)+(60*60*0.5)+(135*60)+(50*37))*H16</f>
        <v>22668.09</v>
      </c>
      <c r="G16" s="364">
        <f t="shared" ref="G16" si="4">E16-F16</f>
        <v>41800.709999999992</v>
      </c>
      <c r="H16" s="379">
        <v>0.59699999999999998</v>
      </c>
      <c r="I16" s="76">
        <v>4</v>
      </c>
      <c r="J16" s="364">
        <f t="shared" ref="J16:J19" si="5">I16*F16</f>
        <v>90672.36</v>
      </c>
      <c r="K16" s="378">
        <f>J16/E16</f>
        <v>1.406453354180627</v>
      </c>
      <c r="L16" s="364">
        <f>E16-F16</f>
        <v>41800.709999999992</v>
      </c>
      <c r="M16" s="364">
        <f>O16+P16+(Q16*2)+(R16*2.5)</f>
        <v>128.82296864952977</v>
      </c>
      <c r="N16" s="364">
        <f>L16/325</f>
        <v>128.61756923076919</v>
      </c>
      <c r="O16" s="364">
        <f>$J16*'Dev Assumptions &amp; Summary'!$E$21/'Dev Assumptions &amp; Summary'!$D$21</f>
        <v>14.013001090909091</v>
      </c>
      <c r="P16" s="364">
        <f>$J16*'Dev Assumptions &amp; Summary'!$E$22/'Dev Assumptions &amp; Summary'!$D$22</f>
        <v>53.152762758620689</v>
      </c>
      <c r="Q16" s="364">
        <f>$J16*'Dev Assumptions &amp; Summary'!$E$23/'Dev Assumptions &amp; Summary'!$D$23</f>
        <v>19.2678765</v>
      </c>
      <c r="R16" s="364">
        <f>$J16*'Dev Assumptions &amp; Summary'!$E$24/'Dev Assumptions &amp; Summary'!$D$24</f>
        <v>9.2485807199999979</v>
      </c>
    </row>
    <row r="17" spans="2:20" x14ac:dyDescent="0.2">
      <c r="E17" s="364"/>
      <c r="H17" s="380"/>
      <c r="J17" s="364"/>
      <c r="K17" s="378"/>
    </row>
    <row r="18" spans="2:20" s="381" customFormat="1" x14ac:dyDescent="0.2">
      <c r="B18" s="381">
        <v>6</v>
      </c>
      <c r="C18" s="381" t="s">
        <v>1056</v>
      </c>
      <c r="E18" s="382">
        <f>578.98*111.36</f>
        <v>64475.212800000001</v>
      </c>
      <c r="F18" s="382">
        <f>F19+F20</f>
        <v>22662.600000000002</v>
      </c>
      <c r="G18" s="382">
        <f>E18-F18</f>
        <v>41812.612800000003</v>
      </c>
      <c r="H18" s="383"/>
      <c r="J18" s="384">
        <f>J19+J20</f>
        <v>90650.400000000009</v>
      </c>
      <c r="K18" s="385">
        <f>J18/E18</f>
        <v>1.4059728702438654</v>
      </c>
      <c r="L18" s="382">
        <f>L19+L20</f>
        <v>41812.612800000003</v>
      </c>
      <c r="M18" s="382">
        <f>O19+P19+(Q19*2)+(R19*2.5)+(J20/'Dev Assumptions &amp; Summary'!D7)</f>
        <v>128.79176892789968</v>
      </c>
      <c r="N18" s="382">
        <f>SUM(N19:N20)</f>
        <v>128.65419323076924</v>
      </c>
      <c r="O18" s="382"/>
      <c r="P18" s="382"/>
      <c r="Q18" s="382"/>
      <c r="R18" s="382"/>
    </row>
    <row r="19" spans="2:20" x14ac:dyDescent="0.2">
      <c r="B19" s="76">
        <v>6</v>
      </c>
      <c r="C19" s="76" t="s">
        <v>1052</v>
      </c>
      <c r="D19" s="76" t="s">
        <v>1055</v>
      </c>
      <c r="F19" s="364">
        <f>(((111*60)+(484*60)+(60*111))*H19)-F20</f>
        <v>22662.600000000002</v>
      </c>
      <c r="H19" s="386">
        <v>0.53500000000000003</v>
      </c>
      <c r="I19" s="76">
        <v>4</v>
      </c>
      <c r="J19" s="364">
        <f t="shared" si="5"/>
        <v>90650.400000000009</v>
      </c>
      <c r="K19" s="378"/>
      <c r="L19" s="364">
        <f>E18-F19-F20-L20</f>
        <v>41812.612800000003</v>
      </c>
      <c r="M19" s="364">
        <f>M18</f>
        <v>128.79176892789968</v>
      </c>
      <c r="N19" s="364">
        <f>L19/325</f>
        <v>128.65419323076924</v>
      </c>
      <c r="O19" s="364">
        <f>$J19*'Dev Assumptions &amp; Summary'!$E$21/'Dev Assumptions &amp; Summary'!$D$21</f>
        <v>14.009607272727273</v>
      </c>
      <c r="P19" s="364">
        <f>$J19*'Dev Assumptions &amp; Summary'!$E$22/'Dev Assumptions &amp; Summary'!$D$22</f>
        <v>53.139889655172418</v>
      </c>
      <c r="Q19" s="364">
        <f>$J19*'Dev Assumptions &amp; Summary'!$E$23/'Dev Assumptions &amp; Summary'!$D$23</f>
        <v>19.263210000000001</v>
      </c>
      <c r="R19" s="364">
        <f>$J19*'Dev Assumptions &amp; Summary'!$E$24/'Dev Assumptions &amp; Summary'!$D$24</f>
        <v>9.2463408000000005</v>
      </c>
      <c r="T19" s="387"/>
    </row>
    <row r="20" spans="2:20" x14ac:dyDescent="0.2">
      <c r="B20" s="76">
        <v>6</v>
      </c>
      <c r="C20" s="76" t="s">
        <v>1057</v>
      </c>
      <c r="D20" s="76" t="s">
        <v>971</v>
      </c>
      <c r="F20" s="364">
        <v>0</v>
      </c>
      <c r="G20" s="388"/>
      <c r="H20" s="388"/>
      <c r="I20" s="362">
        <v>1</v>
      </c>
      <c r="J20" s="364">
        <f>I20*F20</f>
        <v>0</v>
      </c>
      <c r="L20" s="364">
        <f>M20*325</f>
        <v>0</v>
      </c>
      <c r="M20" s="364">
        <f>F20/'Dev Assumptions &amp; Summary'!D7</f>
        <v>0</v>
      </c>
      <c r="N20" s="364">
        <f>L20/325</f>
        <v>0</v>
      </c>
    </row>
    <row r="22" spans="2:20" s="381" customFormat="1" x14ac:dyDescent="0.2">
      <c r="B22" s="381">
        <v>7</v>
      </c>
      <c r="C22" s="381" t="s">
        <v>1056</v>
      </c>
      <c r="E22" s="382">
        <f>0.73*43560</f>
        <v>31798.799999999999</v>
      </c>
      <c r="F22" s="382">
        <f>F23+F24</f>
        <v>6000</v>
      </c>
      <c r="G22" s="382">
        <f>E22-F22</f>
        <v>25798.799999999999</v>
      </c>
      <c r="H22" s="383"/>
      <c r="J22" s="384">
        <f>J23+J24+J25</f>
        <v>24000</v>
      </c>
      <c r="K22" s="385">
        <f>J22/E22</f>
        <v>0.75474546209290916</v>
      </c>
      <c r="L22" s="382">
        <f>G22</f>
        <v>25798.799999999999</v>
      </c>
      <c r="M22" s="382">
        <f>SUM(M24:M25)</f>
        <v>72</v>
      </c>
      <c r="N22" s="382">
        <f>L22/325</f>
        <v>79.380923076923068</v>
      </c>
      <c r="O22" s="382"/>
      <c r="P22" s="382"/>
      <c r="Q22" s="382"/>
      <c r="R22" s="382"/>
    </row>
    <row r="23" spans="2:20" x14ac:dyDescent="0.2">
      <c r="B23" s="76">
        <v>7</v>
      </c>
      <c r="C23" s="76" t="s">
        <v>1052</v>
      </c>
      <c r="D23" s="76" t="s">
        <v>1055</v>
      </c>
      <c r="F23" s="364">
        <v>0</v>
      </c>
      <c r="H23" s="386"/>
      <c r="I23" s="76">
        <v>4</v>
      </c>
      <c r="J23" s="364">
        <f t="shared" si="1"/>
        <v>0</v>
      </c>
      <c r="K23" s="378"/>
      <c r="N23" s="364">
        <f>L23/325</f>
        <v>0</v>
      </c>
      <c r="O23" s="364">
        <v>0</v>
      </c>
      <c r="P23" s="364">
        <v>0</v>
      </c>
      <c r="Q23" s="364">
        <v>0</v>
      </c>
      <c r="R23" s="364">
        <v>0</v>
      </c>
      <c r="T23" s="387"/>
    </row>
    <row r="24" spans="2:20" x14ac:dyDescent="0.2">
      <c r="B24" s="76">
        <v>7</v>
      </c>
      <c r="C24" s="76" t="s">
        <v>1057</v>
      </c>
      <c r="D24" s="76" t="s">
        <v>971</v>
      </c>
      <c r="F24" s="364">
        <v>6000</v>
      </c>
      <c r="G24" s="388">
        <v>0</v>
      </c>
      <c r="H24" s="388"/>
      <c r="I24" s="76">
        <v>1</v>
      </c>
      <c r="J24" s="364">
        <f>I24*F24</f>
        <v>6000</v>
      </c>
      <c r="L24" s="364">
        <f>M24*325</f>
        <v>5850</v>
      </c>
      <c r="M24" s="364">
        <v>18</v>
      </c>
      <c r="N24" s="364">
        <f>L24/325</f>
        <v>18</v>
      </c>
    </row>
    <row r="25" spans="2:20" x14ac:dyDescent="0.2">
      <c r="B25" s="76">
        <v>7</v>
      </c>
      <c r="C25" s="76" t="s">
        <v>1058</v>
      </c>
      <c r="D25" s="76" t="s">
        <v>972</v>
      </c>
      <c r="F25" s="364">
        <f>F24</f>
        <v>6000</v>
      </c>
      <c r="I25" s="76">
        <v>3</v>
      </c>
      <c r="J25" s="389">
        <f>I25*F25</f>
        <v>18000</v>
      </c>
      <c r="L25" s="364">
        <f>M25*325</f>
        <v>17550</v>
      </c>
      <c r="M25" s="364">
        <f>(J25*('Dev Assumptions &amp; Summary'!C8/'Dev Assumptions &amp; Summary'!D8))</f>
        <v>54</v>
      </c>
      <c r="N25" s="364">
        <f>L25/325</f>
        <v>54</v>
      </c>
    </row>
    <row r="27" spans="2:20" x14ac:dyDescent="0.2">
      <c r="B27" s="76">
        <v>8</v>
      </c>
      <c r="C27" s="381" t="s">
        <v>1056</v>
      </c>
      <c r="D27" s="381"/>
      <c r="E27" s="382">
        <f>1.59*43560</f>
        <v>69260.400000000009</v>
      </c>
      <c r="F27" s="382">
        <f>F28+F29</f>
        <v>20190</v>
      </c>
      <c r="G27" s="382">
        <f>E27-F27</f>
        <v>49070.400000000009</v>
      </c>
      <c r="H27" s="383"/>
      <c r="I27" s="381"/>
      <c r="J27" s="384">
        <f>J28+J29+J30</f>
        <v>80760</v>
      </c>
      <c r="K27" s="385">
        <f>J27/E27</f>
        <v>1.1660342706654883</v>
      </c>
      <c r="L27" s="382">
        <f>G27</f>
        <v>49070.400000000009</v>
      </c>
      <c r="M27" s="382">
        <f>SUM(M28:M30)</f>
        <v>150.44778683385579</v>
      </c>
      <c r="N27" s="382">
        <f>L27/325</f>
        <v>150.98584615384618</v>
      </c>
      <c r="O27" s="382"/>
      <c r="P27" s="382"/>
      <c r="Q27" s="382"/>
      <c r="R27" s="382"/>
    </row>
    <row r="28" spans="2:20" x14ac:dyDescent="0.2">
      <c r="B28" s="76">
        <v>8</v>
      </c>
      <c r="C28" s="76" t="s">
        <v>1052</v>
      </c>
      <c r="D28" s="76" t="s">
        <v>1055</v>
      </c>
      <c r="F28" s="364">
        <f>60*242.5</f>
        <v>14550</v>
      </c>
      <c r="I28" s="76">
        <v>4</v>
      </c>
      <c r="J28" s="364">
        <f t="shared" si="1"/>
        <v>58200</v>
      </c>
      <c r="L28" s="364">
        <f>G27-L30-L29</f>
        <v>27048.400000000009</v>
      </c>
      <c r="M28" s="364">
        <f>O28+P28+(Q28*2)+(R28*2.5)</f>
        <v>82.687786833855782</v>
      </c>
      <c r="O28" s="364">
        <f>$J28*'Dev Assumptions &amp; Summary'!$E$21/'Dev Assumptions &amp; Summary'!$D$21</f>
        <v>8.9945454545454542</v>
      </c>
      <c r="P28" s="364">
        <f>$J28*'Dev Assumptions &amp; Summary'!$E$22/'Dev Assumptions &amp; Summary'!$D$22</f>
        <v>34.117241379310343</v>
      </c>
      <c r="Q28" s="364">
        <f>$J28*'Dev Assumptions &amp; Summary'!$E$23/'Dev Assumptions &amp; Summary'!$D$23</f>
        <v>12.3675</v>
      </c>
      <c r="R28" s="364">
        <f>$J28*'Dev Assumptions &amp; Summary'!$E$24/'Dev Assumptions &amp; Summary'!$D$24</f>
        <v>5.936399999999999</v>
      </c>
    </row>
    <row r="29" spans="2:20" x14ac:dyDescent="0.2">
      <c r="B29" s="76">
        <v>8</v>
      </c>
      <c r="C29" s="76" t="s">
        <v>1057</v>
      </c>
      <c r="D29" s="76" t="s">
        <v>971</v>
      </c>
      <c r="F29" s="364">
        <f>F30</f>
        <v>5640</v>
      </c>
      <c r="I29" s="76">
        <v>1</v>
      </c>
      <c r="J29" s="364">
        <f>I29*F29</f>
        <v>5640</v>
      </c>
      <c r="L29" s="364">
        <f>M29*325</f>
        <v>5525</v>
      </c>
      <c r="M29" s="364">
        <v>17</v>
      </c>
    </row>
    <row r="30" spans="2:20" x14ac:dyDescent="0.2">
      <c r="B30" s="76">
        <v>8</v>
      </c>
      <c r="C30" s="76" t="s">
        <v>1058</v>
      </c>
      <c r="D30" s="76" t="s">
        <v>972</v>
      </c>
      <c r="F30" s="364">
        <f>94*60</f>
        <v>5640</v>
      </c>
      <c r="I30" s="76">
        <v>3</v>
      </c>
      <c r="J30" s="389">
        <f>I30*F30</f>
        <v>16920</v>
      </c>
      <c r="L30" s="364">
        <f>M30*325</f>
        <v>16497</v>
      </c>
      <c r="M30" s="364">
        <f>(J30*('Dev Assumptions &amp; Summary'!C8/'Dev Assumptions &amp; Summary'!D8))</f>
        <v>50.76</v>
      </c>
    </row>
    <row r="32" spans="2:20" x14ac:dyDescent="0.2">
      <c r="B32" s="76">
        <v>9</v>
      </c>
      <c r="C32" s="381" t="s">
        <v>1056</v>
      </c>
      <c r="D32" s="381"/>
      <c r="E32" s="382">
        <f>2.27*43560</f>
        <v>98881.2</v>
      </c>
      <c r="F32" s="382">
        <f>F33+F35</f>
        <v>24170</v>
      </c>
      <c r="G32" s="382">
        <f>E32-F32</f>
        <v>74711.199999999997</v>
      </c>
      <c r="H32" s="383"/>
      <c r="I32" s="381"/>
      <c r="J32" s="384">
        <f>J33+J34+J35</f>
        <v>96680</v>
      </c>
      <c r="K32" s="385">
        <f>J32/E32</f>
        <v>0.97773894329761368</v>
      </c>
      <c r="L32" s="382">
        <f>G32</f>
        <v>74711.199999999997</v>
      </c>
      <c r="M32" s="382">
        <f>SUM(M33:M37)</f>
        <v>185.55774608150469</v>
      </c>
      <c r="N32" s="382">
        <f>L32/325</f>
        <v>229.88061538461537</v>
      </c>
    </row>
    <row r="33" spans="2:18" x14ac:dyDescent="0.2">
      <c r="B33" s="76">
        <v>9</v>
      </c>
      <c r="C33" s="76" t="s">
        <v>1052</v>
      </c>
      <c r="D33" s="76" t="s">
        <v>1055</v>
      </c>
      <c r="F33" s="364">
        <f>60*197.5</f>
        <v>11850</v>
      </c>
      <c r="I33" s="76">
        <v>3</v>
      </c>
      <c r="J33" s="364">
        <f t="shared" ref="J33" si="6">I33*F33</f>
        <v>35550</v>
      </c>
      <c r="L33" s="364">
        <f>G32-L35-L34</f>
        <v>30819.949999999997</v>
      </c>
      <c r="M33" s="364">
        <f>O33+P33+(Q33*2)+(R33*2.5)</f>
        <v>50.507746081504699</v>
      </c>
      <c r="O33" s="364">
        <f>$J33*'Dev Assumptions &amp; Summary'!$E$21/'Dev Assumptions &amp; Summary'!$D$21</f>
        <v>5.4940909090909082</v>
      </c>
      <c r="P33" s="364">
        <f>$J33*'Dev Assumptions &amp; Summary'!$E$22/'Dev Assumptions &amp; Summary'!$D$22</f>
        <v>20.839655172413792</v>
      </c>
      <c r="Q33" s="364">
        <f>$J33*'Dev Assumptions &amp; Summary'!$E$23/'Dev Assumptions &amp; Summary'!$D$23</f>
        <v>7.5543749999999994</v>
      </c>
      <c r="R33" s="364">
        <f>$J33*'Dev Assumptions &amp; Summary'!$E$24/'Dev Assumptions &amp; Summary'!$D$24</f>
        <v>3.6260999999999997</v>
      </c>
    </row>
    <row r="34" spans="2:18" x14ac:dyDescent="0.2">
      <c r="B34" s="76">
        <v>9</v>
      </c>
      <c r="C34" s="76" t="s">
        <v>1057</v>
      </c>
      <c r="D34" s="76" t="s">
        <v>971</v>
      </c>
      <c r="F34" s="364">
        <f>F35+F33</f>
        <v>24170</v>
      </c>
      <c r="I34" s="76">
        <v>1</v>
      </c>
      <c r="J34" s="364">
        <f>I34*F34</f>
        <v>24170</v>
      </c>
      <c r="L34" s="364">
        <f>M34*325</f>
        <v>7855.2500000000009</v>
      </c>
      <c r="M34" s="364">
        <f>F34/'Dev Assumptions &amp; Summary'!D7</f>
        <v>24.17</v>
      </c>
    </row>
    <row r="35" spans="2:18" x14ac:dyDescent="0.2">
      <c r="B35" s="76">
        <v>9</v>
      </c>
      <c r="C35" s="76" t="s">
        <v>1058</v>
      </c>
      <c r="D35" s="76" t="s">
        <v>972</v>
      </c>
      <c r="F35" s="364">
        <f>112*110</f>
        <v>12320</v>
      </c>
      <c r="I35" s="76">
        <v>3</v>
      </c>
      <c r="J35" s="389">
        <f>I35*F35</f>
        <v>36960</v>
      </c>
      <c r="L35" s="364">
        <f>M35*325</f>
        <v>36036</v>
      </c>
      <c r="M35" s="364">
        <f>(J35*('Dev Assumptions &amp; Summary'!C8/'Dev Assumptions &amp; Summary'!D8))</f>
        <v>110.88</v>
      </c>
    </row>
    <row r="37" spans="2:18" x14ac:dyDescent="0.2">
      <c r="C37" s="390" t="s">
        <v>1038</v>
      </c>
      <c r="D37" s="391" t="s">
        <v>1003</v>
      </c>
      <c r="E37" s="392" t="s">
        <v>1006</v>
      </c>
      <c r="F37" s="393" t="s">
        <v>1059</v>
      </c>
    </row>
    <row r="38" spans="2:18" x14ac:dyDescent="0.2">
      <c r="C38" s="394" t="s">
        <v>1053</v>
      </c>
      <c r="D38" s="395">
        <f>SUMIF(D8:D36,C38,J8:J36)</f>
        <v>27300</v>
      </c>
      <c r="E38" s="395">
        <f>SUM(R8,O23:R23)</f>
        <v>13</v>
      </c>
      <c r="F38" s="396">
        <f>26</f>
        <v>26</v>
      </c>
    </row>
    <row r="39" spans="2:18" x14ac:dyDescent="0.2">
      <c r="C39" s="394" t="s">
        <v>1055</v>
      </c>
      <c r="D39" s="395">
        <f>SUMIF(D8:D36,C39,J8:J36)</f>
        <v>275072.76</v>
      </c>
      <c r="E39" s="395">
        <f>SUM(O8:R35)-E38</f>
        <v>290.27117671279001</v>
      </c>
      <c r="F39" s="396">
        <f>SUMIF(D8:D35,C39,M8:M35)</f>
        <v>390.81027049278993</v>
      </c>
    </row>
    <row r="40" spans="2:18" x14ac:dyDescent="0.2">
      <c r="C40" s="394" t="s">
        <v>971</v>
      </c>
      <c r="D40" s="395">
        <f>SUMIF(D8:D36,C40,J8:J36)</f>
        <v>53660</v>
      </c>
      <c r="E40" s="397">
        <v>0</v>
      </c>
      <c r="F40" s="396">
        <f>SUMIF(D8:D35,C40,M8:M35)</f>
        <v>130.57</v>
      </c>
    </row>
    <row r="41" spans="2:18" ht="16.5" x14ac:dyDescent="0.35">
      <c r="C41" s="398" t="s">
        <v>972</v>
      </c>
      <c r="D41" s="399">
        <f>SUMIF(D8:D35,C41,J8:J35)</f>
        <v>71880</v>
      </c>
      <c r="E41" s="400">
        <v>0</v>
      </c>
      <c r="F41" s="396">
        <f>SUMIF(D8:D35,C41,M8:M35)</f>
        <v>215.64</v>
      </c>
    </row>
    <row r="42" spans="2:18" x14ac:dyDescent="0.2">
      <c r="C42" s="401" t="s">
        <v>6</v>
      </c>
      <c r="D42" s="402">
        <f>SUM(D38:D41)</f>
        <v>427912.76</v>
      </c>
      <c r="E42" s="402">
        <f>SUM(E38:E41)</f>
        <v>303.27117671279001</v>
      </c>
      <c r="F42" s="403">
        <f>SUM(F38:F41)</f>
        <v>763.0202704927899</v>
      </c>
    </row>
    <row r="43" spans="2:18" x14ac:dyDescent="0.2">
      <c r="C43" s="13"/>
      <c r="D43" s="13"/>
      <c r="E43" s="397"/>
      <c r="F43" s="395"/>
    </row>
    <row r="45" spans="2:18" x14ac:dyDescent="0.2">
      <c r="C45" s="466" t="s">
        <v>1060</v>
      </c>
      <c r="D45" s="467"/>
      <c r="E45" s="466" t="s">
        <v>1038</v>
      </c>
      <c r="F45" s="468" t="s">
        <v>1061</v>
      </c>
      <c r="G45" s="468" t="s">
        <v>969</v>
      </c>
    </row>
    <row r="46" spans="2:18" x14ac:dyDescent="0.2">
      <c r="C46" s="404">
        <v>1</v>
      </c>
      <c r="D46" s="404"/>
      <c r="E46" s="76" t="s">
        <v>1062</v>
      </c>
      <c r="F46" s="376" t="s">
        <v>1063</v>
      </c>
      <c r="G46" s="76">
        <v>26</v>
      </c>
    </row>
    <row r="47" spans="2:18" x14ac:dyDescent="0.2">
      <c r="C47" s="404">
        <v>2</v>
      </c>
      <c r="D47" s="404"/>
      <c r="E47" s="76" t="s">
        <v>971</v>
      </c>
      <c r="F47" s="376">
        <f>J10</f>
        <v>5600</v>
      </c>
      <c r="G47" s="364">
        <f>N10</f>
        <v>22.978461538461538</v>
      </c>
    </row>
    <row r="48" spans="2:18" x14ac:dyDescent="0.2">
      <c r="C48" s="404">
        <v>3</v>
      </c>
      <c r="D48" s="404"/>
      <c r="E48" s="76" t="str">
        <f>D12</f>
        <v>Retail</v>
      </c>
      <c r="F48" s="376">
        <f>F12</f>
        <v>7400</v>
      </c>
      <c r="G48" s="364">
        <f>N12</f>
        <v>29.502769230769236</v>
      </c>
    </row>
    <row r="49" spans="3:7" x14ac:dyDescent="0.2">
      <c r="C49" s="404">
        <v>4</v>
      </c>
      <c r="D49" s="404"/>
      <c r="E49" s="76" t="str">
        <f>D14</f>
        <v>Retail</v>
      </c>
      <c r="F49" s="376">
        <f>F14</f>
        <v>4850</v>
      </c>
      <c r="G49" s="364">
        <f>N14</f>
        <v>18.584615384615386</v>
      </c>
    </row>
    <row r="50" spans="3:7" x14ac:dyDescent="0.2">
      <c r="C50" s="404">
        <v>5</v>
      </c>
      <c r="D50" s="404"/>
      <c r="E50" s="376" t="s">
        <v>1064</v>
      </c>
      <c r="F50" s="364">
        <f>SUM(O16:R16)</f>
        <v>95.682221069529774</v>
      </c>
      <c r="G50" s="364">
        <f>N16</f>
        <v>128.61756923076919</v>
      </c>
    </row>
    <row r="51" spans="3:7" x14ac:dyDescent="0.2">
      <c r="C51" s="404">
        <v>6</v>
      </c>
      <c r="D51" s="404"/>
      <c r="E51" s="376" t="s">
        <v>1064</v>
      </c>
      <c r="F51" s="364">
        <f>SUM(O19:R19)</f>
        <v>95.65904772789969</v>
      </c>
      <c r="G51" s="364">
        <f>N19</f>
        <v>128.65419323076924</v>
      </c>
    </row>
    <row r="52" spans="3:7" x14ac:dyDescent="0.2">
      <c r="C52" s="404">
        <v>7</v>
      </c>
      <c r="D52" s="404" t="s">
        <v>1052</v>
      </c>
      <c r="E52" s="376" t="s">
        <v>971</v>
      </c>
      <c r="F52" s="364">
        <f>J24</f>
        <v>6000</v>
      </c>
      <c r="G52" s="364">
        <v>18</v>
      </c>
    </row>
    <row r="53" spans="3:7" x14ac:dyDescent="0.2">
      <c r="C53" s="404"/>
      <c r="D53" s="404" t="s">
        <v>1057</v>
      </c>
      <c r="E53" s="376" t="s">
        <v>972</v>
      </c>
      <c r="F53" s="364">
        <f>J25</f>
        <v>18000</v>
      </c>
      <c r="G53" s="364">
        <v>54</v>
      </c>
    </row>
    <row r="54" spans="3:7" x14ac:dyDescent="0.2">
      <c r="C54" s="404">
        <v>8</v>
      </c>
      <c r="D54" s="404" t="s">
        <v>1052</v>
      </c>
      <c r="E54" s="376" t="s">
        <v>1064</v>
      </c>
      <c r="F54" s="364">
        <f>SUM(O28:R28)</f>
        <v>61.415686833855794</v>
      </c>
      <c r="G54" s="364">
        <f>M28</f>
        <v>82.687786833855782</v>
      </c>
    </row>
    <row r="55" spans="3:7" x14ac:dyDescent="0.2">
      <c r="C55" s="404"/>
      <c r="D55" s="404" t="s">
        <v>1057</v>
      </c>
      <c r="E55" s="376" t="s">
        <v>971</v>
      </c>
      <c r="F55" s="364">
        <f>J29</f>
        <v>5640</v>
      </c>
      <c r="G55" s="364">
        <f>M29</f>
        <v>17</v>
      </c>
    </row>
    <row r="56" spans="3:7" x14ac:dyDescent="0.2">
      <c r="C56" s="404"/>
      <c r="D56" s="404" t="s">
        <v>1058</v>
      </c>
      <c r="E56" s="376" t="s">
        <v>972</v>
      </c>
      <c r="F56" s="364">
        <f>J30</f>
        <v>16920</v>
      </c>
      <c r="G56" s="364">
        <f>M30</f>
        <v>50.76</v>
      </c>
    </row>
    <row r="57" spans="3:7" x14ac:dyDescent="0.2">
      <c r="C57" s="404">
        <v>9</v>
      </c>
      <c r="D57" s="404" t="s">
        <v>1052</v>
      </c>
      <c r="E57" s="376" t="s">
        <v>1064</v>
      </c>
      <c r="F57" s="364">
        <f>SUM(O33:R33)</f>
        <v>37.514221081504701</v>
      </c>
      <c r="G57" s="364">
        <f>M33</f>
        <v>50.507746081504699</v>
      </c>
    </row>
    <row r="58" spans="3:7" x14ac:dyDescent="0.2">
      <c r="C58" s="404"/>
      <c r="D58" s="404" t="s">
        <v>1057</v>
      </c>
      <c r="E58" s="376" t="str">
        <f>D34</f>
        <v>Retail</v>
      </c>
      <c r="F58" s="364">
        <f>J34</f>
        <v>24170</v>
      </c>
      <c r="G58" s="364">
        <f>M34</f>
        <v>24.17</v>
      </c>
    </row>
    <row r="59" spans="3:7" x14ac:dyDescent="0.2">
      <c r="D59" s="404" t="s">
        <v>1058</v>
      </c>
      <c r="E59" s="376" t="str">
        <f>D35</f>
        <v>Office</v>
      </c>
      <c r="F59" s="364">
        <f>J35</f>
        <v>36960</v>
      </c>
      <c r="G59" s="364">
        <f>M35</f>
        <v>110.88</v>
      </c>
    </row>
    <row r="60" spans="3:7" x14ac:dyDescent="0.2">
      <c r="C60" s="469" t="s">
        <v>6</v>
      </c>
      <c r="D60" s="470"/>
      <c r="E60" s="392"/>
      <c r="F60" s="471">
        <f>D42</f>
        <v>427912.76</v>
      </c>
      <c r="G60" s="471">
        <f>SUM(G47:G59)</f>
        <v>736.34314153074513</v>
      </c>
    </row>
  </sheetData>
  <mergeCells count="1">
    <mergeCell ref="O6:R6"/>
  </mergeCells>
  <pageMargins left="0.7" right="0.7" top="0.75" bottom="0.75" header="0.3" footer="0.3"/>
  <pageSetup paperSize="3" scale="78" orientation="landscape" r:id="rId1"/>
  <rowBreaks count="1" manualBreakCount="1">
    <brk id="61"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29"/>
  <sheetViews>
    <sheetView showGridLines="0" view="pageBreakPreview" zoomScale="60" zoomScaleNormal="100" workbookViewId="0">
      <selection activeCell="K16" sqref="K16"/>
    </sheetView>
  </sheetViews>
  <sheetFormatPr defaultRowHeight="15" x14ac:dyDescent="0.25"/>
  <cols>
    <col min="1" max="1" width="2.140625" customWidth="1"/>
    <col min="2" max="2" width="14.5703125" customWidth="1"/>
    <col min="3" max="3" width="17.85546875" customWidth="1"/>
    <col min="4" max="4" width="14.5703125" customWidth="1"/>
    <col min="5" max="5" width="17.5703125" customWidth="1"/>
    <col min="6" max="6" width="13.85546875" customWidth="1"/>
    <col min="7" max="7" width="17.28515625" customWidth="1"/>
    <col min="8" max="8" width="11.7109375" customWidth="1"/>
    <col min="9" max="9" width="9.7109375" customWidth="1"/>
    <col min="10" max="10" width="16.5703125" customWidth="1"/>
    <col min="11" max="11" width="15.7109375" customWidth="1"/>
    <col min="12" max="12" width="14.85546875" customWidth="1"/>
    <col min="13" max="13" width="3.28515625" customWidth="1"/>
    <col min="14" max="14" width="17.28515625" customWidth="1"/>
    <col min="15" max="15" width="18.85546875" customWidth="1"/>
    <col min="16" max="16" width="13.7109375" customWidth="1"/>
    <col min="17" max="17" width="17.42578125" customWidth="1"/>
    <col min="18" max="18" width="18.28515625" customWidth="1"/>
    <col min="19" max="19" width="13.42578125" customWidth="1"/>
    <col min="23" max="23" width="16.7109375" bestFit="1" customWidth="1"/>
  </cols>
  <sheetData>
    <row r="1" spans="1:21" x14ac:dyDescent="0.25">
      <c r="A1" s="76"/>
      <c r="B1" s="2" t="s">
        <v>13</v>
      </c>
      <c r="C1" s="76"/>
      <c r="D1" s="76"/>
      <c r="E1" s="76"/>
      <c r="F1" s="76"/>
      <c r="G1" s="76"/>
      <c r="H1" s="76"/>
      <c r="I1" s="76"/>
      <c r="J1" s="76"/>
      <c r="K1" s="76"/>
      <c r="L1" s="76"/>
      <c r="M1" s="76"/>
      <c r="N1" s="76"/>
      <c r="O1" s="76"/>
      <c r="P1" s="76"/>
      <c r="Q1" s="76"/>
      <c r="R1" s="76"/>
      <c r="S1" s="76"/>
    </row>
    <row r="2" spans="1:21" x14ac:dyDescent="0.25">
      <c r="A2" s="76"/>
      <c r="B2" s="76" t="s">
        <v>191</v>
      </c>
      <c r="C2" s="76"/>
      <c r="D2" s="76"/>
      <c r="E2" s="76"/>
      <c r="F2" s="76"/>
      <c r="G2" s="76"/>
      <c r="H2" s="76"/>
      <c r="I2" s="76"/>
      <c r="J2" s="76"/>
      <c r="K2" s="76"/>
      <c r="L2" s="76"/>
      <c r="M2" s="76"/>
      <c r="N2" s="76"/>
      <c r="O2" s="76"/>
      <c r="P2" s="76"/>
      <c r="Q2" s="76"/>
      <c r="R2" s="76"/>
      <c r="S2" s="76"/>
    </row>
    <row r="3" spans="1:21" x14ac:dyDescent="0.25">
      <c r="A3" s="76"/>
      <c r="B3" s="76" t="s">
        <v>1065</v>
      </c>
      <c r="C3" s="76"/>
      <c r="D3" s="76"/>
      <c r="E3" s="76"/>
      <c r="F3" s="76"/>
      <c r="G3" s="76"/>
      <c r="H3" s="76"/>
      <c r="I3" s="76"/>
      <c r="J3" s="76"/>
      <c r="K3" s="76"/>
      <c r="L3" s="76"/>
      <c r="M3" s="76"/>
      <c r="N3" s="76"/>
      <c r="O3" s="76"/>
      <c r="P3" s="76"/>
      <c r="Q3" s="76"/>
      <c r="R3" s="76"/>
      <c r="S3" s="76"/>
    </row>
    <row r="4" spans="1:21" x14ac:dyDescent="0.25">
      <c r="A4" s="76"/>
      <c r="B4" s="76"/>
      <c r="C4" s="76"/>
      <c r="D4" s="76"/>
      <c r="E4" s="76"/>
      <c r="F4" s="76"/>
      <c r="G4" s="76"/>
      <c r="H4" s="76"/>
      <c r="I4" s="76"/>
      <c r="J4" s="76"/>
      <c r="K4" s="76"/>
      <c r="L4" s="76"/>
      <c r="M4" s="76"/>
      <c r="N4" s="76"/>
      <c r="O4" s="76"/>
      <c r="P4" s="76"/>
      <c r="Q4" s="76"/>
      <c r="R4" s="76"/>
      <c r="S4" s="76"/>
    </row>
    <row r="5" spans="1:21" x14ac:dyDescent="0.25">
      <c r="A5" s="76"/>
      <c r="B5" s="76"/>
      <c r="C5" s="76"/>
      <c r="D5" s="76"/>
      <c r="E5" s="76"/>
      <c r="F5" s="76"/>
      <c r="G5" s="76"/>
      <c r="H5" s="76"/>
      <c r="I5" s="76"/>
      <c r="J5" s="76"/>
      <c r="K5" s="76"/>
      <c r="L5" s="76"/>
      <c r="M5" s="76"/>
      <c r="N5" s="76"/>
      <c r="O5" s="76"/>
      <c r="P5" s="76"/>
      <c r="Q5" s="76"/>
      <c r="R5" s="76"/>
      <c r="S5" s="76"/>
    </row>
    <row r="6" spans="1:21" s="415" customFormat="1" ht="55.5" customHeight="1" x14ac:dyDescent="0.25">
      <c r="A6" s="408"/>
      <c r="B6" s="409" t="s">
        <v>1038</v>
      </c>
      <c r="C6" s="410" t="s">
        <v>1066</v>
      </c>
      <c r="D6" s="410" t="s">
        <v>1067</v>
      </c>
      <c r="E6" s="411" t="s">
        <v>1006</v>
      </c>
      <c r="F6" s="409" t="s">
        <v>1068</v>
      </c>
      <c r="G6" s="412" t="s">
        <v>1069</v>
      </c>
      <c r="H6" s="412" t="s">
        <v>1070</v>
      </c>
      <c r="I6" s="412" t="s">
        <v>1071</v>
      </c>
      <c r="J6" s="409" t="s">
        <v>1072</v>
      </c>
      <c r="K6" s="409" t="s">
        <v>1073</v>
      </c>
      <c r="L6" s="409" t="s">
        <v>1074</v>
      </c>
      <c r="M6" s="413"/>
      <c r="N6" s="412" t="s">
        <v>1075</v>
      </c>
      <c r="O6" s="412" t="s">
        <v>1076</v>
      </c>
      <c r="P6" s="412" t="s">
        <v>1077</v>
      </c>
      <c r="Q6" s="412" t="s">
        <v>1078</v>
      </c>
      <c r="R6" s="412" t="s">
        <v>1079</v>
      </c>
      <c r="S6" s="412" t="s">
        <v>1080</v>
      </c>
      <c r="T6" s="414"/>
      <c r="U6" s="414"/>
    </row>
    <row r="7" spans="1:21" x14ac:dyDescent="0.25">
      <c r="A7" s="76"/>
      <c r="B7" s="416"/>
      <c r="C7" s="417"/>
      <c r="D7" s="417"/>
      <c r="E7" s="417"/>
      <c r="F7" s="13"/>
      <c r="G7" s="13"/>
      <c r="H7" s="418"/>
      <c r="I7" s="13"/>
      <c r="J7" s="13"/>
      <c r="K7" s="85"/>
      <c r="L7" s="76"/>
      <c r="M7" s="76"/>
      <c r="N7" s="76"/>
      <c r="O7" s="76"/>
      <c r="P7" s="76"/>
      <c r="Q7" s="76"/>
      <c r="R7" s="362"/>
      <c r="S7" s="76"/>
    </row>
    <row r="8" spans="1:21" x14ac:dyDescent="0.25">
      <c r="A8" s="76"/>
      <c r="B8" s="76" t="str">
        <f>'Dev Program Opt 1'!C38</f>
        <v>Resi For Sale</v>
      </c>
      <c r="C8" s="364">
        <f>'Dev Program Opt 1'!D38</f>
        <v>27300</v>
      </c>
      <c r="D8" s="419">
        <f>C8/$C$12</f>
        <v>6.3798050798952566E-2</v>
      </c>
      <c r="E8" s="364">
        <f>'Dev Program Opt 1'!E38</f>
        <v>13</v>
      </c>
      <c r="F8" s="326">
        <v>0</v>
      </c>
      <c r="G8" s="420">
        <v>200</v>
      </c>
      <c r="H8" s="420">
        <v>0</v>
      </c>
      <c r="I8" s="420"/>
      <c r="J8" s="365">
        <f>I8*H8</f>
        <v>0</v>
      </c>
      <c r="K8" s="76"/>
      <c r="L8" s="76"/>
      <c r="M8" s="76"/>
      <c r="N8" s="312">
        <f>O8/C8</f>
        <v>135.1746</v>
      </c>
      <c r="O8" s="421">
        <f>'Development Costs'!E10*C8*1.1</f>
        <v>3690266.58</v>
      </c>
      <c r="P8" s="312">
        <f>'Development Costs'!$D$21*325*'Dev Program Opt 1'!F38</f>
        <v>77999.999999999985</v>
      </c>
      <c r="Q8" s="472">
        <f>SUM('Dev Program Opt 1'!$E$8:$E$35)*'Scen 1 Proforma'!D8*D19</f>
        <v>431641.20569499256</v>
      </c>
      <c r="R8" s="422">
        <f>P8+O8+Q8</f>
        <v>4199907.7856949922</v>
      </c>
      <c r="S8" s="423">
        <f>((G8*C8)/R8)-1</f>
        <v>0.30002854314966587</v>
      </c>
    </row>
    <row r="9" spans="1:21" x14ac:dyDescent="0.25">
      <c r="A9" s="76"/>
      <c r="B9" s="76" t="str">
        <f>'Dev Program Opt 1'!C39</f>
        <v>Resi Rental</v>
      </c>
      <c r="C9" s="364">
        <f>'Dev Program Opt 1'!D39</f>
        <v>275072.76</v>
      </c>
      <c r="D9" s="419">
        <f>C9/$C$12</f>
        <v>0.6428243925233732</v>
      </c>
      <c r="E9" s="364">
        <f>'Dev Program Opt 1'!E39</f>
        <v>290.27117671279001</v>
      </c>
      <c r="F9" s="326">
        <v>0.05</v>
      </c>
      <c r="G9" s="424"/>
      <c r="H9" s="420">
        <f>12*1.55</f>
        <v>18.600000000000001</v>
      </c>
      <c r="I9" s="425">
        <v>0.35</v>
      </c>
      <c r="J9" s="365">
        <f t="shared" ref="J9" si="0">I9*H9</f>
        <v>6.51</v>
      </c>
      <c r="K9" s="375">
        <f>(H9*(1-F9))-J9</f>
        <v>11.160000000000002</v>
      </c>
      <c r="L9" s="312">
        <f>K9*C9</f>
        <v>3069812.0016000005</v>
      </c>
      <c r="M9" s="76"/>
      <c r="N9" s="312">
        <f>O9/C9</f>
        <v>122.886</v>
      </c>
      <c r="O9" s="421">
        <f>'Development Costs'!E10*C9</f>
        <v>33802591.18536</v>
      </c>
      <c r="P9" s="312">
        <f>'Development Costs'!$D$21*325*'Dev Program Opt 1'!F39</f>
        <v>1172430.8114783696</v>
      </c>
      <c r="Q9" s="472">
        <f>SUM('Dev Program Opt 1'!$E$8:$E$35)*'Scen 1 Proforma'!D9*D20</f>
        <v>5947602.7816411173</v>
      </c>
      <c r="R9" s="422">
        <f>P9+O9+Q9</f>
        <v>40922624.778479487</v>
      </c>
      <c r="S9" s="423">
        <f>(L9)/R9</f>
        <v>7.501503186116161E-2</v>
      </c>
    </row>
    <row r="10" spans="1:21" x14ac:dyDescent="0.25">
      <c r="A10" s="76"/>
      <c r="B10" s="76" t="str">
        <f>'Dev Program Opt 1'!C40</f>
        <v>Retail</v>
      </c>
      <c r="C10" s="364">
        <f>'Dev Program Opt 1'!D40</f>
        <v>53660</v>
      </c>
      <c r="D10" s="419">
        <f>C10/$C$12</f>
        <v>0.125399392156476</v>
      </c>
      <c r="E10" s="364">
        <f>'Dev Program Opt 1'!E40</f>
        <v>0</v>
      </c>
      <c r="F10" s="326">
        <v>0.05</v>
      </c>
      <c r="G10" s="424"/>
      <c r="H10" s="420">
        <v>15</v>
      </c>
      <c r="I10" s="425">
        <v>0.1</v>
      </c>
      <c r="J10" s="365">
        <f>I10*H10</f>
        <v>1.5</v>
      </c>
      <c r="K10" s="375">
        <f>(H10*(1-F10))-J10</f>
        <v>12.75</v>
      </c>
      <c r="L10" s="312">
        <f>K10*C10</f>
        <v>684165</v>
      </c>
      <c r="M10" s="76"/>
      <c r="N10" s="312">
        <f>O10/C10</f>
        <v>106.745</v>
      </c>
      <c r="O10" s="421">
        <f>AVERAGE('Development Costs'!E14:E16)*C10</f>
        <v>5727936.7000000002</v>
      </c>
      <c r="P10" s="312">
        <f>'Development Costs'!$D$21*325*'Dev Program Opt 1'!F40</f>
        <v>391709.99999999994</v>
      </c>
      <c r="Q10" s="472">
        <f>SUM('Dev Program Opt 1'!$E$8:$E$35)*'Scen 1 Proforma'!D10*D21</f>
        <v>2436971.75081072</v>
      </c>
      <c r="R10" s="422">
        <f>P10+O10+Q10</f>
        <v>8556618.4508107193</v>
      </c>
      <c r="S10" s="423">
        <f>(L10)/R10</f>
        <v>7.9957404193379336E-2</v>
      </c>
    </row>
    <row r="11" spans="1:21" ht="16.5" x14ac:dyDescent="0.35">
      <c r="A11" s="76"/>
      <c r="B11" s="426" t="str">
        <f>'Dev Program Opt 1'!C41</f>
        <v>Office</v>
      </c>
      <c r="C11" s="427">
        <f>'Dev Program Opt 1'!D41</f>
        <v>71880</v>
      </c>
      <c r="D11" s="419">
        <f t="shared" ref="D11" si="1">C11/$C$12</f>
        <v>0.16797816452119821</v>
      </c>
      <c r="E11" s="427">
        <f>'Dev Program Opt 1'!E41</f>
        <v>0</v>
      </c>
      <c r="F11" s="326">
        <v>0.05</v>
      </c>
      <c r="G11" s="424"/>
      <c r="H11" s="420">
        <v>22</v>
      </c>
      <c r="I11" s="425">
        <v>0.15</v>
      </c>
      <c r="J11" s="365">
        <f>I11*H11</f>
        <v>3.3</v>
      </c>
      <c r="K11" s="375">
        <f t="shared" ref="K11" si="2">(H11*(1-F11))-J11</f>
        <v>17.599999999999998</v>
      </c>
      <c r="L11" s="312">
        <f>K11*C11</f>
        <v>1265087.9999999998</v>
      </c>
      <c r="M11" s="76"/>
      <c r="N11" s="312">
        <f t="shared" ref="N11" si="3">O11/C11</f>
        <v>160</v>
      </c>
      <c r="O11" s="421">
        <f>AVERAGE('Development Costs'!E12:E12)*C11</f>
        <v>11500800</v>
      </c>
      <c r="P11" s="312">
        <f>'Development Costs'!$D$21*325*'Dev Program Opt 1'!F41</f>
        <v>646919.99999999988</v>
      </c>
      <c r="Q11" s="472">
        <f>SUM('Dev Program Opt 1'!$E$8:$E$35)*'Scen 1 Proforma'!D11*D22</f>
        <v>2736011.4519714345</v>
      </c>
      <c r="R11" s="422">
        <f t="shared" ref="R11" si="4">P11+O11+Q11</f>
        <v>14883731.451971434</v>
      </c>
      <c r="S11" s="423">
        <f t="shared" ref="S11" si="5">(L11)/R11</f>
        <v>8.499803991239252E-2</v>
      </c>
    </row>
    <row r="12" spans="1:21" x14ac:dyDescent="0.25">
      <c r="A12" s="76"/>
      <c r="B12" s="76" t="str">
        <f>'Dev Program Opt 1'!C42</f>
        <v>Total</v>
      </c>
      <c r="C12" s="364">
        <f>'Dev Program Opt 1'!D42</f>
        <v>427912.76</v>
      </c>
      <c r="D12" s="364"/>
      <c r="E12" s="364">
        <f>SUM(E10:E11)</f>
        <v>0</v>
      </c>
      <c r="F12" s="76"/>
      <c r="G12" s="76"/>
      <c r="H12" s="76"/>
      <c r="I12" s="76"/>
      <c r="J12" s="76"/>
      <c r="K12" s="76"/>
      <c r="L12" s="76"/>
      <c r="M12" s="76"/>
      <c r="N12" s="76"/>
      <c r="O12" s="76"/>
      <c r="P12" s="76"/>
      <c r="Q12" s="76"/>
      <c r="R12" s="76"/>
      <c r="S12" s="76"/>
    </row>
    <row r="13" spans="1:21" x14ac:dyDescent="0.25">
      <c r="A13" s="76"/>
      <c r="B13" s="76"/>
      <c r="C13" s="76"/>
      <c r="D13" s="76"/>
      <c r="E13" s="76"/>
      <c r="F13" s="76"/>
      <c r="G13" s="76"/>
      <c r="H13" s="76"/>
      <c r="I13" s="76"/>
      <c r="J13" s="76"/>
      <c r="K13" s="76"/>
      <c r="L13" s="76"/>
      <c r="M13" s="76"/>
      <c r="N13" s="76"/>
      <c r="O13" s="76"/>
      <c r="P13" s="76"/>
      <c r="Q13" s="76"/>
      <c r="R13" s="76"/>
      <c r="S13" s="76"/>
    </row>
    <row r="14" spans="1:21" x14ac:dyDescent="0.25">
      <c r="A14" s="76"/>
      <c r="B14" s="76"/>
      <c r="C14" s="76"/>
      <c r="D14" s="76"/>
      <c r="E14" s="76"/>
      <c r="F14" s="76"/>
      <c r="G14" s="76"/>
      <c r="H14" s="365"/>
      <c r="I14" s="365"/>
      <c r="J14" s="76"/>
      <c r="K14" s="76"/>
      <c r="L14" s="76"/>
      <c r="M14" s="76"/>
      <c r="N14" s="76"/>
      <c r="O14" s="76"/>
      <c r="P14" s="76"/>
      <c r="Q14" s="76"/>
      <c r="R14" s="76"/>
      <c r="S14" s="76"/>
    </row>
    <row r="15" spans="1:21" x14ac:dyDescent="0.25">
      <c r="A15" s="76"/>
      <c r="B15" s="76"/>
      <c r="C15" s="76"/>
      <c r="D15" s="76"/>
      <c r="E15" s="76"/>
      <c r="F15" s="76"/>
      <c r="G15" s="76"/>
      <c r="H15" s="76"/>
      <c r="I15" s="76"/>
      <c r="J15" s="76"/>
      <c r="K15" s="76"/>
      <c r="L15" s="76"/>
      <c r="M15" s="76"/>
      <c r="N15" s="76"/>
      <c r="O15" s="76"/>
      <c r="P15" s="76"/>
      <c r="Q15" s="76"/>
      <c r="R15" s="76"/>
      <c r="S15" s="76"/>
    </row>
    <row r="16" spans="1:21" x14ac:dyDescent="0.25">
      <c r="A16" s="76"/>
      <c r="B16" s="381" t="s">
        <v>1081</v>
      </c>
      <c r="C16" s="76"/>
      <c r="D16" s="76"/>
      <c r="E16" s="76"/>
      <c r="F16" s="76"/>
      <c r="G16" s="76"/>
      <c r="H16" s="76"/>
      <c r="I16" s="76"/>
      <c r="J16" s="76"/>
      <c r="K16" s="76"/>
      <c r="L16" s="76"/>
      <c r="M16" s="76"/>
      <c r="N16" s="76"/>
      <c r="O16" s="76"/>
      <c r="P16" s="76"/>
      <c r="Q16" s="76"/>
      <c r="R16" s="76"/>
      <c r="S16" s="76"/>
    </row>
    <row r="17" spans="1:19" x14ac:dyDescent="0.25">
      <c r="A17" s="76"/>
      <c r="B17" s="76"/>
      <c r="C17" s="76"/>
      <c r="D17" s="76"/>
      <c r="E17" s="76"/>
      <c r="F17" s="76"/>
      <c r="G17" s="76"/>
      <c r="H17" s="76"/>
      <c r="I17" s="76"/>
      <c r="J17" s="76"/>
      <c r="K17" s="76"/>
      <c r="L17" s="76"/>
      <c r="M17" s="76"/>
      <c r="N17" s="76"/>
      <c r="O17" s="76"/>
      <c r="P17" s="76"/>
      <c r="Q17" s="76"/>
      <c r="R17" s="76"/>
      <c r="S17" s="76"/>
    </row>
    <row r="18" spans="1:19" s="428" customFormat="1" ht="45.75" customHeight="1" x14ac:dyDescent="0.25">
      <c r="A18" s="377"/>
      <c r="B18" s="410"/>
      <c r="C18" s="410" t="s">
        <v>1082</v>
      </c>
      <c r="D18" s="410" t="s">
        <v>1083</v>
      </c>
      <c r="E18" s="410" t="s">
        <v>1084</v>
      </c>
      <c r="F18" s="410" t="s">
        <v>1085</v>
      </c>
      <c r="G18" s="410" t="s">
        <v>1086</v>
      </c>
      <c r="H18" s="377"/>
      <c r="I18" s="377"/>
      <c r="J18" s="377"/>
      <c r="K18" s="377"/>
      <c r="L18" s="377"/>
      <c r="M18" s="377"/>
      <c r="N18" s="377"/>
      <c r="O18"/>
      <c r="P18"/>
      <c r="Q18"/>
      <c r="S18" s="377"/>
    </row>
    <row r="19" spans="1:19" x14ac:dyDescent="0.25">
      <c r="A19" s="76"/>
      <c r="B19" s="76" t="str">
        <f>B8</f>
        <v>Resi For Sale</v>
      </c>
      <c r="C19" s="429">
        <v>0.3</v>
      </c>
      <c r="D19" s="420">
        <v>17.55</v>
      </c>
      <c r="E19" s="326">
        <f>D8</f>
        <v>6.3798050798952566E-2</v>
      </c>
      <c r="F19" s="375">
        <f>E19*D19</f>
        <v>1.1196557915216176</v>
      </c>
      <c r="G19" s="362"/>
      <c r="H19" s="76"/>
      <c r="I19" s="76"/>
      <c r="J19" s="76"/>
      <c r="K19" s="76"/>
      <c r="L19" s="76"/>
      <c r="M19" s="76"/>
      <c r="N19" s="76"/>
      <c r="P19" s="430"/>
      <c r="Q19" s="431"/>
      <c r="S19" s="76"/>
    </row>
    <row r="20" spans="1:19" x14ac:dyDescent="0.25">
      <c r="A20" s="76"/>
      <c r="B20" s="76" t="str">
        <f>B9</f>
        <v>Resi Rental</v>
      </c>
      <c r="C20" s="429">
        <v>7.4999999999999997E-2</v>
      </c>
      <c r="D20" s="420">
        <v>24</v>
      </c>
      <c r="E20" s="326">
        <f>D9</f>
        <v>0.6428243925233732</v>
      </c>
      <c r="F20" s="375">
        <f>E20*D20</f>
        <v>15.427785420560957</v>
      </c>
      <c r="G20" s="362"/>
      <c r="H20" s="76"/>
      <c r="I20" s="76"/>
      <c r="J20" s="76"/>
      <c r="K20" s="76"/>
      <c r="L20" s="76"/>
      <c r="M20" s="76"/>
      <c r="N20" s="76"/>
      <c r="P20" s="430"/>
      <c r="Q20" s="431"/>
      <c r="S20" s="76"/>
    </row>
    <row r="21" spans="1:19" x14ac:dyDescent="0.25">
      <c r="A21" s="76"/>
      <c r="B21" s="76" t="str">
        <f>B10</f>
        <v>Retail</v>
      </c>
      <c r="C21" s="429">
        <v>0.08</v>
      </c>
      <c r="D21" s="420">
        <v>50.41</v>
      </c>
      <c r="E21" s="326">
        <f>D10</f>
        <v>0.125399392156476</v>
      </c>
      <c r="F21" s="375">
        <f>E21*D21</f>
        <v>6.3213833586079549</v>
      </c>
      <c r="G21" s="362"/>
      <c r="H21" s="76"/>
      <c r="I21" s="76"/>
      <c r="J21" s="76"/>
      <c r="K21" s="76"/>
      <c r="L21" s="76"/>
      <c r="M21" s="76"/>
      <c r="N21" s="76"/>
      <c r="Q21" s="431"/>
      <c r="S21" s="76"/>
    </row>
    <row r="22" spans="1:19" x14ac:dyDescent="0.25">
      <c r="A22" s="76"/>
      <c r="B22" s="76" t="str">
        <f>B11</f>
        <v>Office</v>
      </c>
      <c r="C22" s="429">
        <v>8.5000000000000006E-2</v>
      </c>
      <c r="D22" s="420">
        <v>42.25</v>
      </c>
      <c r="E22" s="326">
        <f>D11</f>
        <v>0.16797816452119821</v>
      </c>
      <c r="F22" s="375">
        <f>E22*D22</f>
        <v>7.097077451020624</v>
      </c>
      <c r="G22" s="362"/>
      <c r="H22" s="76"/>
      <c r="I22" s="76"/>
      <c r="J22" s="76"/>
      <c r="K22" s="76"/>
      <c r="L22" s="76"/>
      <c r="M22" s="76"/>
      <c r="N22" s="76"/>
      <c r="S22" s="76"/>
    </row>
    <row r="23" spans="1:19" x14ac:dyDescent="0.25">
      <c r="A23" s="76"/>
      <c r="B23" s="76"/>
      <c r="C23" s="76"/>
      <c r="D23" s="76"/>
      <c r="E23" s="326">
        <f>SUM(E19:E22)</f>
        <v>1</v>
      </c>
      <c r="F23" s="473">
        <f>SUM(F19:F22)</f>
        <v>29.965902021711152</v>
      </c>
      <c r="G23" s="422">
        <f>F23*SUM('Dev Program Opt 1'!$E$8:$E$35)</f>
        <v>11552227.190118264</v>
      </c>
      <c r="H23" s="76"/>
      <c r="I23" s="76"/>
      <c r="J23" s="76"/>
      <c r="K23" s="76"/>
      <c r="L23" s="76"/>
      <c r="M23" s="76"/>
      <c r="N23" s="76"/>
      <c r="S23" s="76"/>
    </row>
    <row r="24" spans="1:19" x14ac:dyDescent="0.25">
      <c r="A24" s="76"/>
      <c r="B24" s="76"/>
      <c r="C24" s="76"/>
      <c r="D24" s="76"/>
      <c r="E24" s="76"/>
      <c r="F24" s="76"/>
      <c r="G24" s="76"/>
      <c r="H24" s="76"/>
      <c r="I24" s="76"/>
      <c r="J24" s="76"/>
      <c r="K24" s="76"/>
      <c r="L24" s="76"/>
      <c r="M24" s="76"/>
      <c r="N24" s="76"/>
      <c r="S24" s="76"/>
    </row>
    <row r="25" spans="1:19" x14ac:dyDescent="0.25">
      <c r="A25" s="76"/>
      <c r="B25" s="76"/>
      <c r="C25" s="76"/>
      <c r="D25" s="76"/>
      <c r="E25" s="76"/>
      <c r="F25" s="76"/>
      <c r="G25" s="76"/>
      <c r="H25" s="375"/>
      <c r="I25" s="76"/>
      <c r="J25" s="76"/>
      <c r="K25" s="76"/>
      <c r="L25" s="76"/>
      <c r="M25" s="76"/>
      <c r="N25" s="76"/>
      <c r="S25" s="76"/>
    </row>
    <row r="26" spans="1:19" x14ac:dyDescent="0.25">
      <c r="A26" s="76"/>
      <c r="B26" s="76"/>
      <c r="C26" s="76"/>
      <c r="D26" s="76"/>
      <c r="E26" s="76"/>
      <c r="F26" s="76"/>
      <c r="G26" s="76"/>
      <c r="H26" s="76"/>
      <c r="I26" s="76"/>
      <c r="J26" s="76"/>
      <c r="K26" s="76"/>
      <c r="L26" s="76"/>
      <c r="M26" s="76"/>
      <c r="N26" s="76"/>
      <c r="Q26" s="432"/>
      <c r="S26" s="76"/>
    </row>
    <row r="27" spans="1:19" x14ac:dyDescent="0.25">
      <c r="Q27" s="432"/>
    </row>
    <row r="28" spans="1:19" x14ac:dyDescent="0.25">
      <c r="Q28" s="432"/>
    </row>
    <row r="29" spans="1:19" x14ac:dyDescent="0.25">
      <c r="Q29" s="432"/>
    </row>
  </sheetData>
  <pageMargins left="0.7" right="0.7" top="0.75" bottom="0.75" header="0.3" footer="0.3"/>
  <pageSetup paperSize="3" scale="7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2"/>
  <sheetViews>
    <sheetView showGridLines="0" view="pageBreakPreview" zoomScale="60" zoomScaleNormal="70" workbookViewId="0">
      <pane ySplit="6" topLeftCell="A7" activePane="bottomLeft" state="frozen"/>
      <selection activeCell="G20" sqref="G20"/>
      <selection pane="bottomLeft" activeCell="M20" sqref="M20"/>
    </sheetView>
  </sheetViews>
  <sheetFormatPr defaultRowHeight="14.25" x14ac:dyDescent="0.2"/>
  <cols>
    <col min="1" max="1" width="3.42578125" style="76" customWidth="1"/>
    <col min="2" max="2" width="9.140625" style="76"/>
    <col min="3" max="3" width="9.5703125" style="76" customWidth="1"/>
    <col min="4" max="4" width="17.140625" style="76" customWidth="1"/>
    <col min="5" max="5" width="21.140625" style="376" customWidth="1"/>
    <col min="6" max="6" width="17.85546875" style="364" customWidth="1"/>
    <col min="7" max="7" width="18.42578125" style="364" customWidth="1"/>
    <col min="8" max="8" width="16.140625" style="76" customWidth="1"/>
    <col min="9" max="9" width="13" style="76" customWidth="1"/>
    <col min="10" max="11" width="14" style="76" customWidth="1"/>
    <col min="12" max="12" width="16.5703125" style="364" customWidth="1"/>
    <col min="13" max="13" width="13.85546875" style="364" customWidth="1"/>
    <col min="14" max="15" width="15" style="364" customWidth="1"/>
    <col min="16" max="16" width="18.42578125" style="364" customWidth="1"/>
    <col min="17" max="20" width="10.42578125" style="364" customWidth="1"/>
    <col min="21" max="21" width="9.140625" style="76"/>
    <col min="22" max="22" width="27.7109375" style="76" customWidth="1"/>
    <col min="23" max="16384" width="9.140625" style="76"/>
  </cols>
  <sheetData>
    <row r="1" spans="1:20" x14ac:dyDescent="0.2">
      <c r="B1" s="2" t="s">
        <v>13</v>
      </c>
    </row>
    <row r="2" spans="1:20" x14ac:dyDescent="0.2">
      <c r="B2" s="76" t="s">
        <v>191</v>
      </c>
    </row>
    <row r="3" spans="1:20" x14ac:dyDescent="0.2">
      <c r="B3" s="76" t="s">
        <v>1087</v>
      </c>
    </row>
    <row r="4" spans="1:20" ht="15" thickBot="1" x14ac:dyDescent="0.25"/>
    <row r="5" spans="1:20" s="362" customFormat="1" x14ac:dyDescent="0.2">
      <c r="B5" s="460"/>
      <c r="C5" s="460"/>
      <c r="D5" s="460"/>
      <c r="E5" s="461"/>
      <c r="F5" s="462"/>
      <c r="G5" s="462"/>
      <c r="H5" s="460"/>
      <c r="I5" s="460"/>
      <c r="J5" s="460"/>
      <c r="K5" s="460"/>
      <c r="L5" s="462"/>
      <c r="M5" s="462"/>
      <c r="N5" s="462"/>
      <c r="O5" s="462"/>
      <c r="P5" s="462"/>
      <c r="Q5" s="632" t="s">
        <v>1036</v>
      </c>
      <c r="R5" s="632"/>
      <c r="S5" s="632"/>
      <c r="T5" s="632"/>
    </row>
    <row r="6" spans="1:20" s="433" customFormat="1" ht="78" customHeight="1" thickBot="1" x14ac:dyDescent="0.3">
      <c r="B6" s="463" t="s">
        <v>1037</v>
      </c>
      <c r="C6" s="463"/>
      <c r="D6" s="463" t="s">
        <v>1038</v>
      </c>
      <c r="E6" s="465" t="s">
        <v>1039</v>
      </c>
      <c r="F6" s="464" t="s">
        <v>1040</v>
      </c>
      <c r="G6" s="464" t="s">
        <v>1041</v>
      </c>
      <c r="H6" s="463" t="s">
        <v>1042</v>
      </c>
      <c r="I6" s="463" t="s">
        <v>1043</v>
      </c>
      <c r="J6" s="463" t="s">
        <v>1044</v>
      </c>
      <c r="K6" s="463" t="s">
        <v>1045</v>
      </c>
      <c r="L6" s="464" t="s">
        <v>1046</v>
      </c>
      <c r="M6" s="464" t="s">
        <v>1047</v>
      </c>
      <c r="N6" s="464" t="s">
        <v>1088</v>
      </c>
      <c r="O6" s="464" t="s">
        <v>1089</v>
      </c>
      <c r="P6" s="464" t="s">
        <v>1090</v>
      </c>
      <c r="Q6" s="464" t="s">
        <v>974</v>
      </c>
      <c r="R6" s="464" t="s">
        <v>1049</v>
      </c>
      <c r="S6" s="464" t="s">
        <v>1050</v>
      </c>
      <c r="T6" s="464" t="s">
        <v>1051</v>
      </c>
    </row>
    <row r="7" spans="1:20" x14ac:dyDescent="0.2">
      <c r="B7" s="76">
        <v>1</v>
      </c>
      <c r="C7" s="76" t="s">
        <v>1052</v>
      </c>
      <c r="D7" s="76" t="s">
        <v>1053</v>
      </c>
      <c r="E7" s="364">
        <f>0.36*43560</f>
        <v>15681.599999999999</v>
      </c>
      <c r="F7" s="364">
        <f>700*13</f>
        <v>9100</v>
      </c>
      <c r="G7" s="364">
        <f>E7-F7</f>
        <v>6581.5999999999985</v>
      </c>
      <c r="H7" s="364"/>
      <c r="I7" s="76">
        <v>3</v>
      </c>
      <c r="J7" s="364">
        <f>I7*F7</f>
        <v>27300</v>
      </c>
      <c r="K7" s="378">
        <f>J7/E7</f>
        <v>1.740893786348332</v>
      </c>
      <c r="L7" s="364" t="s">
        <v>1054</v>
      </c>
      <c r="T7" s="364">
        <v>13</v>
      </c>
    </row>
    <row r="8" spans="1:20" x14ac:dyDescent="0.2">
      <c r="E8" s="364"/>
      <c r="H8" s="364"/>
      <c r="J8" s="364"/>
      <c r="K8" s="378"/>
    </row>
    <row r="9" spans="1:20" x14ac:dyDescent="0.2">
      <c r="B9" s="76">
        <v>2</v>
      </c>
      <c r="C9" s="76" t="s">
        <v>1052</v>
      </c>
      <c r="D9" s="76" t="s">
        <v>971</v>
      </c>
      <c r="E9" s="364">
        <f>0.3*43560</f>
        <v>13068</v>
      </c>
      <c r="F9" s="364">
        <v>5600</v>
      </c>
      <c r="G9" s="364">
        <f t="shared" ref="G9:G11" si="0">E9-F9</f>
        <v>7468</v>
      </c>
      <c r="H9" s="364"/>
      <c r="I9" s="76">
        <v>1</v>
      </c>
      <c r="J9" s="364">
        <f t="shared" ref="J9:J27" si="1">I9*F9</f>
        <v>5600</v>
      </c>
      <c r="K9" s="378">
        <f>J9/E9</f>
        <v>0.42852770125497397</v>
      </c>
      <c r="L9" s="364">
        <f>E9-F9</f>
        <v>7468</v>
      </c>
      <c r="M9" s="364">
        <f>F9*1/250</f>
        <v>22.4</v>
      </c>
      <c r="N9" s="364">
        <f>L9/325</f>
        <v>22.978461538461538</v>
      </c>
    </row>
    <row r="10" spans="1:20" x14ac:dyDescent="0.2">
      <c r="E10" s="364"/>
      <c r="H10" s="364"/>
      <c r="J10" s="364"/>
      <c r="K10" s="378"/>
    </row>
    <row r="11" spans="1:20" x14ac:dyDescent="0.2">
      <c r="B11" s="76">
        <v>3</v>
      </c>
      <c r="C11" s="76" t="s">
        <v>1052</v>
      </c>
      <c r="D11" s="76" t="s">
        <v>971</v>
      </c>
      <c r="E11" s="364">
        <f>0.39*43560</f>
        <v>16988.400000000001</v>
      </c>
      <c r="F11" s="364">
        <v>7400</v>
      </c>
      <c r="G11" s="364">
        <f t="shared" si="0"/>
        <v>9588.4000000000015</v>
      </c>
      <c r="H11" s="364"/>
      <c r="I11" s="76">
        <v>1</v>
      </c>
      <c r="J11" s="364">
        <f t="shared" ref="J11:J13" si="2">I11*F11</f>
        <v>7400</v>
      </c>
      <c r="K11" s="378">
        <f>J11/E11</f>
        <v>0.43559134468225374</v>
      </c>
      <c r="L11" s="364">
        <f>E11-F11</f>
        <v>9588.4000000000015</v>
      </c>
      <c r="M11" s="364">
        <f>F11*1/250</f>
        <v>29.6</v>
      </c>
      <c r="N11" s="364">
        <f>L11/325</f>
        <v>29.502769230769236</v>
      </c>
    </row>
    <row r="12" spans="1:20" x14ac:dyDescent="0.2">
      <c r="A12" s="315"/>
      <c r="B12" s="315"/>
      <c r="C12" s="315"/>
      <c r="D12" s="315"/>
      <c r="E12" s="324"/>
      <c r="F12" s="324"/>
      <c r="G12" s="324"/>
      <c r="H12" s="324"/>
      <c r="J12" s="364"/>
      <c r="K12" s="378"/>
    </row>
    <row r="13" spans="1:20" ht="14.25" customHeight="1" x14ac:dyDescent="0.2">
      <c r="A13" s="315"/>
      <c r="B13" s="315">
        <v>4</v>
      </c>
      <c r="C13" s="315" t="s">
        <v>1052</v>
      </c>
      <c r="D13" s="315" t="s">
        <v>971</v>
      </c>
      <c r="E13" s="324">
        <f>0.25*43560</f>
        <v>10890</v>
      </c>
      <c r="F13" s="324">
        <v>4850</v>
      </c>
      <c r="G13" s="324">
        <f t="shared" ref="G13" si="3">E13-F13</f>
        <v>6040</v>
      </c>
      <c r="H13" s="324"/>
      <c r="I13" s="76">
        <v>1</v>
      </c>
      <c r="J13" s="364">
        <f t="shared" si="2"/>
        <v>4850</v>
      </c>
      <c r="K13" s="378">
        <f>J13/E13</f>
        <v>0.44536271808999084</v>
      </c>
      <c r="L13" s="364">
        <f>E13-F13</f>
        <v>6040</v>
      </c>
      <c r="M13" s="364">
        <f>F13*1/250</f>
        <v>19.399999999999999</v>
      </c>
      <c r="N13" s="364">
        <f>L13/325</f>
        <v>18.584615384615386</v>
      </c>
    </row>
    <row r="14" spans="1:20" ht="14.25" customHeight="1" x14ac:dyDescent="0.2">
      <c r="A14" s="315"/>
      <c r="B14" s="315"/>
      <c r="C14" s="315"/>
      <c r="D14" s="315"/>
      <c r="E14" s="324"/>
      <c r="F14" s="324"/>
      <c r="G14" s="324"/>
      <c r="H14" s="324"/>
      <c r="J14" s="364"/>
      <c r="K14" s="378"/>
    </row>
    <row r="15" spans="1:20" x14ac:dyDescent="0.2">
      <c r="A15" s="315"/>
      <c r="B15" s="315">
        <v>5</v>
      </c>
      <c r="C15" s="315" t="s">
        <v>1052</v>
      </c>
      <c r="D15" s="315" t="s">
        <v>1055</v>
      </c>
      <c r="E15" s="324">
        <f>1.48*43560</f>
        <v>64468.799999999996</v>
      </c>
      <c r="F15" s="324">
        <f>((305*60)+(110*60)+(22*60)+(60*60*0.5)+(135*60)+(50*37))*H15</f>
        <v>37970</v>
      </c>
      <c r="G15" s="324">
        <f t="shared" ref="G15" si="4">E15-F15</f>
        <v>26498.799999999996</v>
      </c>
      <c r="H15" s="434">
        <v>1</v>
      </c>
      <c r="I15" s="76">
        <v>4</v>
      </c>
      <c r="J15" s="364">
        <f t="shared" ref="J15" si="5">I15*F15</f>
        <v>151880</v>
      </c>
      <c r="K15" s="378">
        <f>J15/E15</f>
        <v>2.3558682649591742</v>
      </c>
      <c r="L15" s="364">
        <f>E15-F15</f>
        <v>26498.799999999996</v>
      </c>
      <c r="M15" s="364">
        <f>Q15+R15+(S15*2)+(T15*2.5)</f>
        <v>215.7838670846395</v>
      </c>
      <c r="N15" s="364">
        <f>L15/325</f>
        <v>81.534769230769214</v>
      </c>
      <c r="O15" s="435">
        <f>3</f>
        <v>3</v>
      </c>
      <c r="P15" s="364">
        <f>O15*N15</f>
        <v>244.60430769230766</v>
      </c>
      <c r="Q15" s="364">
        <f>$J15*'Dev Assumptions &amp; Summary'!$E$21/'Dev Assumptions &amp; Summary'!$D$21</f>
        <v>23.472363636363635</v>
      </c>
      <c r="R15" s="364">
        <f>$J15*'Dev Assumptions &amp; Summary'!$E$22/'Dev Assumptions &amp; Summary'!$D$22</f>
        <v>89.033103448275853</v>
      </c>
      <c r="S15" s="364">
        <f>$J15*'Dev Assumptions &amp; Summary'!$E$23/'Dev Assumptions &amp; Summary'!$D$23</f>
        <v>32.274499999999996</v>
      </c>
      <c r="T15" s="364">
        <f>$J15*'Dev Assumptions &amp; Summary'!$E$24/'Dev Assumptions &amp; Summary'!$D$24</f>
        <v>15.491759999999999</v>
      </c>
    </row>
    <row r="16" spans="1:20" x14ac:dyDescent="0.2">
      <c r="A16" s="315"/>
      <c r="B16" s="315"/>
      <c r="C16" s="315"/>
      <c r="D16" s="315"/>
      <c r="E16" s="324"/>
      <c r="F16" s="324"/>
      <c r="G16" s="324"/>
      <c r="H16" s="436"/>
      <c r="J16" s="364"/>
      <c r="K16" s="378"/>
    </row>
    <row r="17" spans="1:22" s="381" customFormat="1" x14ac:dyDescent="0.2">
      <c r="A17" s="437"/>
      <c r="B17" s="437">
        <v>6</v>
      </c>
      <c r="C17" s="437" t="s">
        <v>1056</v>
      </c>
      <c r="D17" s="437"/>
      <c r="E17" s="438">
        <f>578.98*111.36</f>
        <v>64475.212800000001</v>
      </c>
      <c r="F17" s="438">
        <f>F18+F19</f>
        <v>45630</v>
      </c>
      <c r="G17" s="438">
        <f>E17-F17</f>
        <v>18845.212800000001</v>
      </c>
      <c r="H17" s="439"/>
      <c r="J17" s="384">
        <f>J18+J19</f>
        <v>154920</v>
      </c>
      <c r="K17" s="385">
        <f>J17/E17</f>
        <v>2.4027838493617195</v>
      </c>
      <c r="L17" s="382">
        <f>L18+L19</f>
        <v>18845.212800000001</v>
      </c>
      <c r="M17" s="382">
        <f>M18+M19</f>
        <v>231.02048373012511</v>
      </c>
      <c r="N17" s="382">
        <f>L17/325</f>
        <v>57.985270153846159</v>
      </c>
      <c r="O17" s="382">
        <v>4</v>
      </c>
      <c r="P17" s="364">
        <f>O17*N17</f>
        <v>231.94108061538464</v>
      </c>
      <c r="Q17" s="382"/>
      <c r="R17" s="382"/>
      <c r="S17" s="382"/>
      <c r="T17" s="382"/>
    </row>
    <row r="18" spans="1:22" x14ac:dyDescent="0.2">
      <c r="A18" s="315"/>
      <c r="B18" s="315">
        <v>6</v>
      </c>
      <c r="C18" s="315" t="s">
        <v>1052</v>
      </c>
      <c r="D18" s="315" t="s">
        <v>1055</v>
      </c>
      <c r="E18" s="338"/>
      <c r="F18" s="324">
        <f>(((111*60)+(484*52.5)+(60*111))*H18)</f>
        <v>38730</v>
      </c>
      <c r="G18" s="324"/>
      <c r="H18" s="440">
        <v>1</v>
      </c>
      <c r="I18" s="76">
        <v>4</v>
      </c>
      <c r="J18" s="364">
        <f>I18*F18-J19</f>
        <v>148020</v>
      </c>
      <c r="K18" s="378"/>
      <c r="L18" s="364">
        <f>E17-F18-F19-L19</f>
        <v>12110.978565765767</v>
      </c>
      <c r="M18" s="364">
        <f>Q18+R18+(S18*2)+(T18*2.5)</f>
        <v>210.29976300940439</v>
      </c>
      <c r="Q18" s="364">
        <f>$J18*'Dev Assumptions &amp; Summary'!$E$21/'Dev Assumptions &amp; Summary'!$D$21</f>
        <v>22.875818181818179</v>
      </c>
      <c r="R18" s="364">
        <f>$J18*'Dev Assumptions &amp; Summary'!$E$22/'Dev Assumptions &amp; Summary'!$D$22</f>
        <v>86.7703448275862</v>
      </c>
      <c r="S18" s="364">
        <f>$J18*'Dev Assumptions &amp; Summary'!$E$23/'Dev Assumptions &amp; Summary'!$D$23</f>
        <v>31.454249999999998</v>
      </c>
      <c r="T18" s="364">
        <f>$J18*'Dev Assumptions &amp; Summary'!$E$24/'Dev Assumptions &amp; Summary'!$D$24</f>
        <v>15.098039999999999</v>
      </c>
      <c r="V18" s="387"/>
    </row>
    <row r="19" spans="1:22" x14ac:dyDescent="0.2">
      <c r="A19" s="315"/>
      <c r="B19" s="315">
        <v>6</v>
      </c>
      <c r="C19" s="315" t="s">
        <v>1057</v>
      </c>
      <c r="D19" s="315" t="s">
        <v>971</v>
      </c>
      <c r="E19" s="338"/>
      <c r="F19" s="324">
        <f>115*60</f>
        <v>6900</v>
      </c>
      <c r="G19" s="441"/>
      <c r="H19" s="441"/>
      <c r="I19" s="362">
        <v>1</v>
      </c>
      <c r="J19" s="364">
        <f>I19*F19</f>
        <v>6900</v>
      </c>
      <c r="L19" s="364">
        <f>M19*325</f>
        <v>6734.2342342342345</v>
      </c>
      <c r="M19" s="364">
        <f>F19/333</f>
        <v>20.72072072072072</v>
      </c>
    </row>
    <row r="20" spans="1:22" x14ac:dyDescent="0.2">
      <c r="A20" s="315"/>
      <c r="B20" s="315"/>
      <c r="C20" s="315"/>
      <c r="D20" s="315"/>
      <c r="E20" s="338"/>
      <c r="F20" s="324"/>
      <c r="G20" s="324"/>
      <c r="H20" s="315"/>
    </row>
    <row r="21" spans="1:22" s="381" customFormat="1" x14ac:dyDescent="0.2">
      <c r="B21" s="381">
        <v>7</v>
      </c>
      <c r="C21" s="381" t="s">
        <v>1056</v>
      </c>
      <c r="E21" s="382">
        <f>0.73*43560</f>
        <v>31798.799999999999</v>
      </c>
      <c r="F21" s="382">
        <f>F22+F23</f>
        <v>18118</v>
      </c>
      <c r="G21" s="382">
        <f>E21-F21</f>
        <v>13680.8</v>
      </c>
      <c r="H21" s="383"/>
      <c r="J21" s="384">
        <f>J22+J23+J24</f>
        <v>72472</v>
      </c>
      <c r="K21" s="385">
        <f>J21/E21</f>
        <v>2.2790797136998879</v>
      </c>
      <c r="L21" s="382">
        <f>G21</f>
        <v>13680.8</v>
      </c>
      <c r="M21" s="382">
        <f>SUM(M22:M24)</f>
        <v>137.95175975975974</v>
      </c>
      <c r="N21" s="382">
        <f>L21/325</f>
        <v>42.094769230769231</v>
      </c>
      <c r="O21" s="382">
        <v>3.5</v>
      </c>
      <c r="P21" s="364">
        <f>O21*N21</f>
        <v>147.33169230769232</v>
      </c>
      <c r="Q21" s="382"/>
      <c r="R21" s="382"/>
      <c r="S21" s="382"/>
      <c r="T21" s="382"/>
    </row>
    <row r="22" spans="1:22" x14ac:dyDescent="0.2">
      <c r="B22" s="315">
        <v>7</v>
      </c>
      <c r="C22" s="315" t="s">
        <v>1052</v>
      </c>
      <c r="D22" s="315" t="s">
        <v>1053</v>
      </c>
      <c r="E22" s="338"/>
      <c r="F22" s="324">
        <f>(251*33)+(93*35)</f>
        <v>11538</v>
      </c>
      <c r="G22" s="324"/>
      <c r="H22" s="440"/>
      <c r="I22" s="315">
        <v>4</v>
      </c>
      <c r="J22" s="324">
        <f t="shared" si="1"/>
        <v>46152</v>
      </c>
      <c r="K22" s="378"/>
      <c r="M22" s="364">
        <f>Q22+R22+(S22*2)+(T22*2.5)</f>
        <v>58.971999999999994</v>
      </c>
      <c r="Q22" s="442">
        <f>IFERROR($J22*'Dev Assumptions &amp; Summary'!$E$27/'Dev Assumptions &amp; Summary'!$L$20,0)</f>
        <v>0</v>
      </c>
      <c r="R22" s="364">
        <f>$J22*'Dev Assumptions &amp; Summary'!$E$28/'Dev Assumptions &amp; Summary'!$D$28</f>
        <v>15.384</v>
      </c>
      <c r="S22" s="364">
        <f>$J22*'Dev Assumptions &amp; Summary'!$E$29/'Dev Assumptions &amp; Summary'!$D$29</f>
        <v>10.897</v>
      </c>
      <c r="T22" s="364">
        <f>$J22*'Dev Assumptions &amp; Summary'!$E$30/'Dev Assumptions &amp; Summary'!$D$30</f>
        <v>8.7175999999999991</v>
      </c>
      <c r="V22" s="387"/>
    </row>
    <row r="23" spans="1:22" x14ac:dyDescent="0.2">
      <c r="B23" s="315">
        <v>7</v>
      </c>
      <c r="C23" s="315" t="s">
        <v>1057</v>
      </c>
      <c r="D23" s="315" t="s">
        <v>971</v>
      </c>
      <c r="E23" s="338"/>
      <c r="F23" s="324">
        <f>70*94</f>
        <v>6580</v>
      </c>
      <c r="G23" s="441">
        <v>0</v>
      </c>
      <c r="H23" s="441"/>
      <c r="I23" s="315">
        <v>1</v>
      </c>
      <c r="J23" s="324">
        <f>I23*F23</f>
        <v>6580</v>
      </c>
      <c r="L23" s="364">
        <f>M23*325</f>
        <v>6421.9219219219221</v>
      </c>
      <c r="M23" s="364">
        <f>J23/333</f>
        <v>19.75975975975976</v>
      </c>
    </row>
    <row r="24" spans="1:22" x14ac:dyDescent="0.2">
      <c r="B24" s="315">
        <v>7</v>
      </c>
      <c r="C24" s="315" t="s">
        <v>1058</v>
      </c>
      <c r="D24" s="315" t="s">
        <v>972</v>
      </c>
      <c r="E24" s="338"/>
      <c r="F24" s="324">
        <f>F23</f>
        <v>6580</v>
      </c>
      <c r="G24" s="324"/>
      <c r="H24" s="315"/>
      <c r="I24" s="315">
        <v>3</v>
      </c>
      <c r="J24" s="336">
        <f>I24*F24</f>
        <v>19740</v>
      </c>
      <c r="L24" s="364">
        <f>M24*325</f>
        <v>19246.5</v>
      </c>
      <c r="M24" s="364">
        <f>(J24*('Dev Assumptions &amp; Summary'!C8/'Dev Assumptions &amp; Summary'!D8))</f>
        <v>59.22</v>
      </c>
    </row>
    <row r="25" spans="1:22" x14ac:dyDescent="0.2">
      <c r="B25" s="315"/>
      <c r="C25" s="315"/>
      <c r="D25" s="315"/>
      <c r="E25" s="338"/>
      <c r="F25" s="324"/>
      <c r="G25" s="324"/>
      <c r="H25" s="315"/>
      <c r="I25" s="315"/>
      <c r="J25" s="315"/>
    </row>
    <row r="26" spans="1:22" x14ac:dyDescent="0.2">
      <c r="B26" s="315">
        <v>8</v>
      </c>
      <c r="C26" s="437" t="s">
        <v>1056</v>
      </c>
      <c r="D26" s="437"/>
      <c r="E26" s="438">
        <f>1.59*43560</f>
        <v>69260.400000000009</v>
      </c>
      <c r="F26" s="438">
        <f>F27+F28</f>
        <v>44040</v>
      </c>
      <c r="G26" s="438">
        <f>E26-F26</f>
        <v>25220.400000000009</v>
      </c>
      <c r="H26" s="439"/>
      <c r="I26" s="437"/>
      <c r="J26" s="443">
        <f>J27+J28+J29</f>
        <v>176160</v>
      </c>
      <c r="K26" s="385">
        <f>J26/E26</f>
        <v>2.5434447389850474</v>
      </c>
      <c r="L26" s="382">
        <f>G26</f>
        <v>25220.400000000009</v>
      </c>
      <c r="M26" s="382">
        <f>SUM(M27:M29)</f>
        <v>310.57247310005931</v>
      </c>
      <c r="N26" s="382">
        <f>L26/325</f>
        <v>77.601230769230796</v>
      </c>
      <c r="O26" s="382">
        <v>4</v>
      </c>
      <c r="P26" s="364">
        <f>O26*N26</f>
        <v>310.40492307692318</v>
      </c>
      <c r="Q26" s="382"/>
      <c r="R26" s="382"/>
      <c r="S26" s="382"/>
      <c r="T26" s="382"/>
    </row>
    <row r="27" spans="1:22" x14ac:dyDescent="0.2">
      <c r="B27" s="315">
        <v>8</v>
      </c>
      <c r="C27" s="315" t="s">
        <v>1052</v>
      </c>
      <c r="D27" s="315" t="s">
        <v>1055</v>
      </c>
      <c r="E27" s="338"/>
      <c r="F27" s="324">
        <f>(415*60)+(160*60)</f>
        <v>34500</v>
      </c>
      <c r="G27" s="324"/>
      <c r="H27" s="315"/>
      <c r="I27" s="315">
        <v>4</v>
      </c>
      <c r="J27" s="324">
        <f t="shared" si="1"/>
        <v>138000</v>
      </c>
      <c r="M27" s="364">
        <f>Q27+R27+(S27*2)+(T27*2.5)</f>
        <v>196.06382445141065</v>
      </c>
      <c r="Q27" s="364">
        <f>$J27*'Dev Assumptions &amp; Summary'!$E$21/'Dev Assumptions &amp; Summary'!$D$21</f>
        <v>21.327272727272724</v>
      </c>
      <c r="R27" s="364">
        <f>$J27*'Dev Assumptions &amp; Summary'!$E$22/'Dev Assumptions &amp; Summary'!$D$22</f>
        <v>80.896551724137922</v>
      </c>
      <c r="S27" s="364">
        <f>$J27*'Dev Assumptions &amp; Summary'!$E$23/'Dev Assumptions &amp; Summary'!$D$23</f>
        <v>29.324999999999999</v>
      </c>
      <c r="T27" s="364">
        <f>$J27*'Dev Assumptions &amp; Summary'!$E$24/'Dev Assumptions &amp; Summary'!$D$24</f>
        <v>14.075999999999999</v>
      </c>
    </row>
    <row r="28" spans="1:22" x14ac:dyDescent="0.2">
      <c r="B28" s="315">
        <v>8</v>
      </c>
      <c r="C28" s="315" t="s">
        <v>1057</v>
      </c>
      <c r="D28" s="315" t="s">
        <v>971</v>
      </c>
      <c r="E28" s="338"/>
      <c r="F28" s="324">
        <f>F29</f>
        <v>9540</v>
      </c>
      <c r="G28" s="324"/>
      <c r="H28" s="315"/>
      <c r="I28" s="315">
        <v>1</v>
      </c>
      <c r="J28" s="324">
        <f>I28*F28</f>
        <v>9540</v>
      </c>
      <c r="M28" s="364">
        <f>J28/333</f>
        <v>28.648648648648649</v>
      </c>
    </row>
    <row r="29" spans="1:22" x14ac:dyDescent="0.2">
      <c r="B29" s="315">
        <v>8</v>
      </c>
      <c r="C29" s="315" t="s">
        <v>1058</v>
      </c>
      <c r="D29" s="315" t="s">
        <v>972</v>
      </c>
      <c r="E29" s="338"/>
      <c r="F29" s="324">
        <f>95.4*100</f>
        <v>9540</v>
      </c>
      <c r="G29" s="324"/>
      <c r="H29" s="315"/>
      <c r="I29" s="315">
        <v>3</v>
      </c>
      <c r="J29" s="336">
        <f>I29*F29</f>
        <v>28620</v>
      </c>
      <c r="M29" s="364">
        <f>(J29*('Dev Assumptions &amp; Summary'!C8/'Dev Assumptions &amp; Summary'!D8))</f>
        <v>85.86</v>
      </c>
    </row>
    <row r="30" spans="1:22" x14ac:dyDescent="0.2">
      <c r="B30" s="315"/>
      <c r="C30" s="315"/>
      <c r="D30" s="315"/>
      <c r="E30" s="338"/>
      <c r="F30" s="324"/>
      <c r="G30" s="324"/>
      <c r="H30" s="315"/>
      <c r="I30" s="315"/>
      <c r="J30" s="315"/>
    </row>
    <row r="31" spans="1:22" x14ac:dyDescent="0.2">
      <c r="B31" s="76">
        <v>9</v>
      </c>
      <c r="C31" s="381" t="s">
        <v>1056</v>
      </c>
      <c r="D31" s="381"/>
      <c r="E31" s="382">
        <f>2.27*43560</f>
        <v>98881.2</v>
      </c>
      <c r="F31" s="382">
        <f>F32+F34</f>
        <v>48620</v>
      </c>
      <c r="G31" s="382">
        <f>E31-F31</f>
        <v>50261.2</v>
      </c>
      <c r="H31" s="383"/>
      <c r="I31" s="381"/>
      <c r="J31" s="384">
        <f>J32+J33+J34</f>
        <v>194480</v>
      </c>
      <c r="K31" s="385">
        <f>J31/E31</f>
        <v>1.9668046099764163</v>
      </c>
      <c r="L31" s="382">
        <f>G31</f>
        <v>50261.2</v>
      </c>
      <c r="M31" s="382">
        <f>SUM(M32:M36)</f>
        <v>411.60593704048875</v>
      </c>
      <c r="N31" s="382">
        <f>L31/325</f>
        <v>154.64984615384614</v>
      </c>
      <c r="O31" s="382">
        <v>3</v>
      </c>
      <c r="P31" s="364">
        <f>O31*N31</f>
        <v>463.9495384615384</v>
      </c>
    </row>
    <row r="32" spans="1:22" x14ac:dyDescent="0.2">
      <c r="B32" s="76">
        <v>9</v>
      </c>
      <c r="C32" s="76" t="s">
        <v>1052</v>
      </c>
      <c r="D32" s="76" t="s">
        <v>1055</v>
      </c>
      <c r="F32" s="364">
        <f>(60*165)+(440*60)</f>
        <v>36300</v>
      </c>
      <c r="I32" s="76">
        <v>3</v>
      </c>
      <c r="J32" s="364">
        <f t="shared" ref="J32" si="6">I32*F32</f>
        <v>108900</v>
      </c>
      <c r="M32" s="364">
        <f>Q32+R32+(S32*2)+(T32*2.5)</f>
        <v>154.71993103448276</v>
      </c>
      <c r="Q32" s="364">
        <f>$J32*'Dev Assumptions &amp; Summary'!$E$21/'Dev Assumptions &amp; Summary'!$D$21</f>
        <v>16.829999999999998</v>
      </c>
      <c r="R32" s="364">
        <f>$J32*'Dev Assumptions &amp; Summary'!$E$22/'Dev Assumptions &amp; Summary'!$D$22</f>
        <v>63.837931034482757</v>
      </c>
      <c r="S32" s="364">
        <f>$J32*'Dev Assumptions &amp; Summary'!$E$23/'Dev Assumptions &amp; Summary'!$D$23</f>
        <v>23.141249999999999</v>
      </c>
      <c r="T32" s="364">
        <f>$J32*'Dev Assumptions &amp; Summary'!$E$24/'Dev Assumptions &amp; Summary'!$D$24</f>
        <v>11.107799999999999</v>
      </c>
    </row>
    <row r="33" spans="2:20" ht="15" thickBot="1" x14ac:dyDescent="0.25">
      <c r="B33" s="76">
        <v>9</v>
      </c>
      <c r="C33" s="76" t="s">
        <v>1057</v>
      </c>
      <c r="D33" s="76" t="s">
        <v>971</v>
      </c>
      <c r="F33" s="364">
        <f>F34+F32</f>
        <v>48620</v>
      </c>
      <c r="I33" s="76">
        <v>1</v>
      </c>
      <c r="J33" s="364">
        <f>I33*F33</f>
        <v>48620</v>
      </c>
      <c r="M33" s="364">
        <f>F33/333</f>
        <v>146.006006006006</v>
      </c>
    </row>
    <row r="34" spans="2:20" x14ac:dyDescent="0.2">
      <c r="B34" s="76">
        <v>9</v>
      </c>
      <c r="C34" s="76" t="s">
        <v>1058</v>
      </c>
      <c r="D34" s="76" t="s">
        <v>972</v>
      </c>
      <c r="F34" s="364">
        <f>112*110</f>
        <v>12320</v>
      </c>
      <c r="I34" s="76">
        <v>3</v>
      </c>
      <c r="J34" s="389">
        <f>I34*F34</f>
        <v>36960</v>
      </c>
      <c r="M34" s="364">
        <f>(J34*('Dev Assumptions &amp; Summary'!C8/'Dev Assumptions &amp; Summary'!D8))</f>
        <v>110.88</v>
      </c>
      <c r="Q34" s="444" t="s">
        <v>1091</v>
      </c>
      <c r="R34" s="445"/>
      <c r="S34" s="445"/>
      <c r="T34" s="446"/>
    </row>
    <row r="35" spans="2:20" ht="15" thickBot="1" x14ac:dyDescent="0.25">
      <c r="Q35" s="447">
        <f>SUM(Q15:Q32)-Q22-Q7</f>
        <v>84.50545454545454</v>
      </c>
      <c r="R35" s="448">
        <f t="shared" ref="R35:T35" si="7">SUM(R15:R32)-R22-R7</f>
        <v>320.53793103448271</v>
      </c>
      <c r="S35" s="448">
        <f t="shared" si="7"/>
        <v>116.19499999999999</v>
      </c>
      <c r="T35" s="449">
        <f t="shared" si="7"/>
        <v>42.773599999999995</v>
      </c>
    </row>
    <row r="36" spans="2:20" x14ac:dyDescent="0.2">
      <c r="C36" s="390"/>
      <c r="D36" s="391" t="s">
        <v>1003</v>
      </c>
      <c r="E36" s="392" t="s">
        <v>1092</v>
      </c>
      <c r="F36" s="393" t="s">
        <v>1059</v>
      </c>
    </row>
    <row r="37" spans="2:20" x14ac:dyDescent="0.2">
      <c r="C37" s="394" t="s">
        <v>1053</v>
      </c>
      <c r="D37" s="395">
        <f>SUMIF(D7:D35,C37,J7:J35)</f>
        <v>73452</v>
      </c>
      <c r="E37" s="395">
        <f>SUM(T7,Q22:T22)</f>
        <v>47.998599999999996</v>
      </c>
      <c r="F37" s="396">
        <f>26+M22</f>
        <v>84.971999999999994</v>
      </c>
    </row>
    <row r="38" spans="2:20" x14ac:dyDescent="0.2">
      <c r="C38" s="394" t="s">
        <v>1055</v>
      </c>
      <c r="D38" s="395">
        <f>SUMIF(D7:D35,C38,J7:J35)</f>
        <v>546800</v>
      </c>
      <c r="E38" s="395">
        <f>SUM(Q7:T34)-E37</f>
        <v>577.01198557993723</v>
      </c>
      <c r="F38" s="396">
        <f>SUMIF(D7:D34,C38,M7:M34)</f>
        <v>776.86738557993738</v>
      </c>
      <c r="J38" s="389"/>
    </row>
    <row r="39" spans="2:20" x14ac:dyDescent="0.2">
      <c r="C39" s="394" t="s">
        <v>971</v>
      </c>
      <c r="D39" s="395">
        <f>SUMIF(D7:D35,C39,J7:J35)</f>
        <v>89490</v>
      </c>
      <c r="E39" s="397">
        <v>0</v>
      </c>
      <c r="F39" s="396">
        <f t="shared" ref="F39:F40" si="8">SUMIF(D8:D35,C39,M8:M35)</f>
        <v>286.53513513513514</v>
      </c>
    </row>
    <row r="40" spans="2:20" ht="16.5" x14ac:dyDescent="0.35">
      <c r="C40" s="450" t="s">
        <v>972</v>
      </c>
      <c r="D40" s="451">
        <f>SUMIF(D7:D34,C40,J7:J34)</f>
        <v>85320</v>
      </c>
      <c r="E40" s="400">
        <v>0</v>
      </c>
      <c r="F40" s="452">
        <f t="shared" si="8"/>
        <v>255.95999999999998</v>
      </c>
    </row>
    <row r="41" spans="2:20" x14ac:dyDescent="0.2">
      <c r="C41" s="401" t="s">
        <v>6</v>
      </c>
      <c r="D41" s="402">
        <f>SUM(D37:D40)</f>
        <v>795062</v>
      </c>
      <c r="E41" s="453">
        <f>SUM(E37:E40)</f>
        <v>625.01058557993724</v>
      </c>
      <c r="F41" s="403">
        <f>SUM(F37:F40)</f>
        <v>1404.3345207150726</v>
      </c>
    </row>
    <row r="45" spans="2:20" x14ac:dyDescent="0.2">
      <c r="C45" s="405" t="s">
        <v>1060</v>
      </c>
      <c r="D45" s="406"/>
      <c r="E45" s="405" t="s">
        <v>1038</v>
      </c>
      <c r="F45" s="407" t="s">
        <v>1061</v>
      </c>
      <c r="G45" s="407" t="s">
        <v>969</v>
      </c>
    </row>
    <row r="46" spans="2:20" x14ac:dyDescent="0.2">
      <c r="C46" s="404">
        <v>1</v>
      </c>
      <c r="D46" s="404"/>
      <c r="E46" s="76" t="s">
        <v>1062</v>
      </c>
      <c r="F46" s="376" t="s">
        <v>1063</v>
      </c>
      <c r="G46" s="389">
        <f>N9</f>
        <v>22.978461538461538</v>
      </c>
    </row>
    <row r="47" spans="2:20" x14ac:dyDescent="0.2">
      <c r="C47" s="404">
        <v>2</v>
      </c>
      <c r="D47" s="404"/>
      <c r="E47" s="76" t="s">
        <v>971</v>
      </c>
      <c r="F47" s="376">
        <f>J9</f>
        <v>5600</v>
      </c>
      <c r="G47" s="364">
        <v>17</v>
      </c>
      <c r="I47" s="387"/>
    </row>
    <row r="48" spans="2:20" x14ac:dyDescent="0.2">
      <c r="C48" s="404">
        <v>3</v>
      </c>
      <c r="D48" s="404"/>
      <c r="E48" s="76" t="s">
        <v>971</v>
      </c>
      <c r="F48" s="376">
        <f>J11</f>
        <v>7400</v>
      </c>
      <c r="G48" s="364">
        <f>N13</f>
        <v>18.584615384615386</v>
      </c>
    </row>
    <row r="49" spans="3:9" x14ac:dyDescent="0.2">
      <c r="C49" s="404">
        <v>4</v>
      </c>
      <c r="D49" s="404"/>
      <c r="E49" s="376" t="s">
        <v>971</v>
      </c>
      <c r="F49" s="376">
        <f>J13</f>
        <v>4850</v>
      </c>
      <c r="G49" s="364">
        <f>M13</f>
        <v>19.399999999999999</v>
      </c>
    </row>
    <row r="50" spans="3:9" x14ac:dyDescent="0.2">
      <c r="C50" s="404">
        <v>5</v>
      </c>
      <c r="D50" s="404"/>
      <c r="E50" s="376" t="s">
        <v>1064</v>
      </c>
      <c r="F50" s="364">
        <f>SUM(Q15:T15)</f>
        <v>160.27172708463948</v>
      </c>
      <c r="G50" s="364">
        <f>M15</f>
        <v>215.7838670846395</v>
      </c>
    </row>
    <row r="51" spans="3:9" x14ac:dyDescent="0.2">
      <c r="C51" s="404">
        <v>6</v>
      </c>
      <c r="D51" s="404" t="s">
        <v>1052</v>
      </c>
      <c r="E51" s="376" t="s">
        <v>1064</v>
      </c>
      <c r="F51" s="364">
        <f>SUM(Q18:T18)</f>
        <v>156.19845300940437</v>
      </c>
      <c r="G51" s="364">
        <f>M17-M19</f>
        <v>210.29976300940439</v>
      </c>
    </row>
    <row r="52" spans="3:9" x14ac:dyDescent="0.2">
      <c r="C52" s="404"/>
      <c r="D52" s="404" t="s">
        <v>1057</v>
      </c>
      <c r="E52" s="376" t="str">
        <f>D19</f>
        <v>Retail</v>
      </c>
      <c r="F52" s="376">
        <f>J19</f>
        <v>6900</v>
      </c>
      <c r="G52" s="364">
        <f>M19</f>
        <v>20.72072072072072</v>
      </c>
      <c r="I52" s="387"/>
    </row>
    <row r="53" spans="3:9" x14ac:dyDescent="0.2">
      <c r="C53" s="404">
        <v>7</v>
      </c>
      <c r="D53" s="404" t="s">
        <v>1052</v>
      </c>
      <c r="E53" s="76" t="s">
        <v>1062</v>
      </c>
      <c r="F53" s="364">
        <f>SUM(Q22:T22)</f>
        <v>34.998599999999996</v>
      </c>
      <c r="G53" s="364">
        <f>M22</f>
        <v>58.971999999999994</v>
      </c>
    </row>
    <row r="54" spans="3:9" x14ac:dyDescent="0.2">
      <c r="C54" s="404"/>
      <c r="D54" s="404" t="s">
        <v>1057</v>
      </c>
      <c r="E54" s="376" t="str">
        <f>D23</f>
        <v>Retail</v>
      </c>
      <c r="F54" s="376">
        <f>J23</f>
        <v>6580</v>
      </c>
      <c r="G54" s="364">
        <f>M23</f>
        <v>19.75975975975976</v>
      </c>
    </row>
    <row r="55" spans="3:9" x14ac:dyDescent="0.2">
      <c r="C55" s="404"/>
      <c r="D55" s="404" t="s">
        <v>1058</v>
      </c>
      <c r="E55" s="376" t="str">
        <f>D24</f>
        <v>Office</v>
      </c>
      <c r="F55" s="364">
        <f>J24</f>
        <v>19740</v>
      </c>
      <c r="G55" s="364">
        <f>M24</f>
        <v>59.22</v>
      </c>
    </row>
    <row r="56" spans="3:9" x14ac:dyDescent="0.2">
      <c r="C56" s="404">
        <v>8</v>
      </c>
      <c r="D56" s="404" t="s">
        <v>1052</v>
      </c>
      <c r="E56" s="376" t="s">
        <v>1064</v>
      </c>
      <c r="F56" s="364">
        <f>SUM(Q27:T27)</f>
        <v>145.62482445141063</v>
      </c>
      <c r="G56" s="364">
        <f>M27</f>
        <v>196.06382445141065</v>
      </c>
    </row>
    <row r="57" spans="3:9" x14ac:dyDescent="0.2">
      <c r="C57" s="404"/>
      <c r="D57" s="404" t="s">
        <v>1057</v>
      </c>
      <c r="E57" s="376" t="str">
        <f>D28</f>
        <v>Retail</v>
      </c>
      <c r="F57" s="364">
        <f>J28</f>
        <v>9540</v>
      </c>
      <c r="G57" s="364">
        <f>M28</f>
        <v>28.648648648648649</v>
      </c>
    </row>
    <row r="58" spans="3:9" x14ac:dyDescent="0.2">
      <c r="C58" s="404"/>
      <c r="D58" s="404" t="s">
        <v>1058</v>
      </c>
      <c r="E58" s="376" t="str">
        <f>D29</f>
        <v>Office</v>
      </c>
      <c r="F58" s="364">
        <f>J29</f>
        <v>28620</v>
      </c>
      <c r="G58" s="364">
        <f>M29</f>
        <v>85.86</v>
      </c>
    </row>
    <row r="59" spans="3:9" x14ac:dyDescent="0.2">
      <c r="C59" s="76">
        <v>9</v>
      </c>
      <c r="D59" s="404" t="s">
        <v>1052</v>
      </c>
      <c r="E59" s="376" t="s">
        <v>1064</v>
      </c>
      <c r="F59" s="364">
        <f>SUM(Q32:T32)</f>
        <v>114.91698103448276</v>
      </c>
      <c r="G59" s="364">
        <f>M32</f>
        <v>154.71993103448276</v>
      </c>
    </row>
    <row r="60" spans="3:9" x14ac:dyDescent="0.2">
      <c r="D60" s="404" t="s">
        <v>1057</v>
      </c>
      <c r="E60" s="376" t="str">
        <f>D33</f>
        <v>Retail</v>
      </c>
      <c r="F60" s="364">
        <f>J33</f>
        <v>48620</v>
      </c>
      <c r="G60" s="364">
        <f>M33</f>
        <v>146.006006006006</v>
      </c>
    </row>
    <row r="61" spans="3:9" x14ac:dyDescent="0.2">
      <c r="D61" s="404" t="s">
        <v>1058</v>
      </c>
      <c r="E61" s="376" t="str">
        <f>D34</f>
        <v>Office</v>
      </c>
      <c r="F61" s="364">
        <f>J34</f>
        <v>36960</v>
      </c>
      <c r="G61" s="364">
        <f>M34</f>
        <v>110.88</v>
      </c>
    </row>
    <row r="62" spans="3:9" x14ac:dyDescent="0.2">
      <c r="G62" s="364">
        <f>SUM(G46:G61)</f>
        <v>1384.8975976381494</v>
      </c>
    </row>
  </sheetData>
  <mergeCells count="1">
    <mergeCell ref="Q5:T5"/>
  </mergeCells>
  <pageMargins left="0.7" right="0.7" top="0.75" bottom="0.75" header="0.3" footer="0.3"/>
  <pageSetup paperSize="3" scale="7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24"/>
  <sheetViews>
    <sheetView showGridLines="0" view="pageBreakPreview" zoomScale="60" zoomScaleNormal="100" workbookViewId="0">
      <selection activeCell="J14" sqref="J14"/>
    </sheetView>
  </sheetViews>
  <sheetFormatPr defaultRowHeight="15" x14ac:dyDescent="0.25"/>
  <cols>
    <col min="1" max="1" width="2.140625" customWidth="1"/>
    <col min="2" max="2" width="12.140625" bestFit="1" customWidth="1"/>
    <col min="3" max="3" width="15.85546875" customWidth="1"/>
    <col min="4" max="4" width="17.5703125" customWidth="1"/>
    <col min="5" max="6" width="13.85546875" customWidth="1"/>
    <col min="7" max="7" width="17.28515625" customWidth="1"/>
    <col min="8" max="8" width="11.7109375" customWidth="1"/>
    <col min="9" max="9" width="9.7109375" customWidth="1"/>
    <col min="10" max="10" width="11.42578125" bestFit="1" customWidth="1"/>
    <col min="11" max="11" width="10.140625" bestFit="1" customWidth="1"/>
    <col min="12" max="12" width="13.42578125" customWidth="1"/>
    <col min="13" max="13" width="3.28515625" customWidth="1"/>
    <col min="14" max="14" width="14.85546875" customWidth="1"/>
    <col min="15" max="15" width="15.28515625" bestFit="1" customWidth="1"/>
    <col min="16" max="16" width="13.7109375" customWidth="1"/>
    <col min="17" max="17" width="17.42578125" customWidth="1"/>
    <col min="18" max="18" width="17.85546875" customWidth="1"/>
    <col min="19" max="19" width="13.85546875" customWidth="1"/>
    <col min="23" max="23" width="16.7109375" bestFit="1" customWidth="1"/>
  </cols>
  <sheetData>
    <row r="1" spans="1:20" x14ac:dyDescent="0.25">
      <c r="A1" s="76"/>
      <c r="B1" s="2" t="s">
        <v>13</v>
      </c>
      <c r="C1" s="76"/>
      <c r="D1" s="76"/>
      <c r="E1" s="76"/>
      <c r="F1" s="76"/>
      <c r="G1" s="76"/>
      <c r="H1" s="76"/>
      <c r="I1" s="76"/>
      <c r="J1" s="76"/>
      <c r="K1" s="76"/>
      <c r="L1" s="76"/>
      <c r="M1" s="76"/>
      <c r="N1" s="76"/>
      <c r="O1" s="76"/>
      <c r="P1" s="76"/>
      <c r="Q1" s="76"/>
      <c r="R1" s="76"/>
      <c r="S1" s="76"/>
      <c r="T1" s="76"/>
    </row>
    <row r="2" spans="1:20" x14ac:dyDescent="0.25">
      <c r="A2" s="76"/>
      <c r="B2" s="76" t="s">
        <v>191</v>
      </c>
      <c r="C2" s="76"/>
      <c r="D2" s="76"/>
      <c r="E2" s="76"/>
      <c r="F2" s="76"/>
      <c r="G2" s="76"/>
      <c r="H2" s="76"/>
      <c r="I2" s="76"/>
      <c r="J2" s="76"/>
      <c r="K2" s="76"/>
      <c r="L2" s="76"/>
      <c r="M2" s="76"/>
      <c r="N2" s="76"/>
      <c r="O2" s="76"/>
      <c r="P2" s="76"/>
      <c r="Q2" s="76"/>
      <c r="R2" s="76"/>
      <c r="S2" s="76"/>
      <c r="T2" s="76"/>
    </row>
    <row r="3" spans="1:20" x14ac:dyDescent="0.25">
      <c r="A3" s="76"/>
      <c r="B3" s="76" t="s">
        <v>1093</v>
      </c>
      <c r="C3" s="76"/>
      <c r="D3" s="76"/>
      <c r="E3" s="76"/>
      <c r="F3" s="76"/>
      <c r="G3" s="76"/>
      <c r="H3" s="76"/>
      <c r="I3" s="76"/>
      <c r="J3" s="76"/>
      <c r="K3" s="76"/>
      <c r="L3" s="76"/>
      <c r="M3" s="76"/>
      <c r="N3" s="76"/>
      <c r="O3" s="76"/>
      <c r="P3" s="76"/>
      <c r="Q3" s="76"/>
      <c r="R3" s="76"/>
      <c r="S3" s="76"/>
      <c r="T3" s="76"/>
    </row>
    <row r="4" spans="1:20" x14ac:dyDescent="0.25">
      <c r="A4" s="76"/>
      <c r="B4" s="76"/>
      <c r="C4" s="76"/>
      <c r="D4" s="76"/>
      <c r="E4" s="76"/>
      <c r="F4" s="76"/>
      <c r="G4" s="76"/>
      <c r="H4" s="76"/>
      <c r="I4" s="76"/>
      <c r="J4" s="76"/>
      <c r="K4" s="76"/>
      <c r="L4" s="76"/>
      <c r="M4" s="76"/>
      <c r="N4" s="76"/>
      <c r="O4" s="76"/>
      <c r="P4" s="76"/>
      <c r="Q4" s="76"/>
      <c r="R4" s="76"/>
      <c r="S4" s="76"/>
      <c r="T4" s="76"/>
    </row>
    <row r="5" spans="1:20" x14ac:dyDescent="0.25">
      <c r="A5" s="76"/>
      <c r="B5" s="76"/>
      <c r="C5" s="76"/>
      <c r="D5" s="76"/>
      <c r="E5" s="76"/>
      <c r="F5" s="76"/>
      <c r="G5" s="76"/>
      <c r="H5" s="76"/>
      <c r="I5" s="76"/>
      <c r="J5" s="76"/>
      <c r="K5" s="76"/>
      <c r="L5" s="76"/>
      <c r="M5" s="76"/>
      <c r="N5" s="76"/>
      <c r="O5" s="76"/>
      <c r="P5" s="76"/>
      <c r="Q5" s="76"/>
      <c r="R5" s="76"/>
      <c r="S5" s="76"/>
      <c r="T5" s="76"/>
    </row>
    <row r="6" spans="1:20" s="414" customFormat="1" ht="55.5" customHeight="1" x14ac:dyDescent="0.25">
      <c r="A6" s="413"/>
      <c r="B6" s="474" t="s">
        <v>1038</v>
      </c>
      <c r="C6" s="475" t="s">
        <v>1066</v>
      </c>
      <c r="D6" s="475" t="s">
        <v>1094</v>
      </c>
      <c r="E6" s="476" t="s">
        <v>1006</v>
      </c>
      <c r="F6" s="474" t="s">
        <v>1068</v>
      </c>
      <c r="G6" s="477" t="s">
        <v>1069</v>
      </c>
      <c r="H6" s="477" t="s">
        <v>1070</v>
      </c>
      <c r="I6" s="477" t="s">
        <v>1071</v>
      </c>
      <c r="J6" s="474" t="s">
        <v>1072</v>
      </c>
      <c r="K6" s="474" t="s">
        <v>1073</v>
      </c>
      <c r="L6" s="474" t="s">
        <v>1074</v>
      </c>
      <c r="M6" s="413"/>
      <c r="N6" s="477" t="s">
        <v>1075</v>
      </c>
      <c r="O6" s="477" t="s">
        <v>1076</v>
      </c>
      <c r="P6" s="477" t="s">
        <v>1077</v>
      </c>
      <c r="Q6" s="477" t="s">
        <v>1078</v>
      </c>
      <c r="R6" s="477" t="s">
        <v>1079</v>
      </c>
      <c r="S6" s="477" t="s">
        <v>1080</v>
      </c>
      <c r="T6" s="413"/>
    </row>
    <row r="7" spans="1:20" x14ac:dyDescent="0.25">
      <c r="A7" s="76"/>
      <c r="B7" s="416"/>
      <c r="C7" s="417"/>
      <c r="D7" s="417"/>
      <c r="E7" s="417"/>
      <c r="F7" s="13"/>
      <c r="G7" s="418"/>
      <c r="H7" s="418"/>
      <c r="I7" s="13"/>
      <c r="J7" s="13"/>
      <c r="K7" s="85"/>
      <c r="L7" s="76"/>
      <c r="M7" s="76"/>
      <c r="N7" s="76"/>
      <c r="O7" s="76"/>
      <c r="P7" s="76"/>
      <c r="Q7" s="76"/>
      <c r="R7" s="362"/>
      <c r="S7" s="76"/>
      <c r="T7" s="76"/>
    </row>
    <row r="8" spans="1:20" x14ac:dyDescent="0.25">
      <c r="A8" s="76"/>
      <c r="B8" s="76" t="str">
        <f>'Dev Program Opt 1'!C38</f>
        <v>Resi For Sale</v>
      </c>
      <c r="C8" s="364">
        <f>'Dev Program Opt 2'!D37</f>
        <v>73452</v>
      </c>
      <c r="D8" s="419">
        <f>C8/$C$12</f>
        <v>9.2385247942927726E-2</v>
      </c>
      <c r="E8" s="364">
        <f>'Dev Program Opt 2'!E37</f>
        <v>47.998599999999996</v>
      </c>
      <c r="F8" s="326">
        <v>0</v>
      </c>
      <c r="G8" s="420">
        <v>200</v>
      </c>
      <c r="H8" s="420">
        <v>0</v>
      </c>
      <c r="I8" s="365"/>
      <c r="J8" s="365">
        <f>I8*H8</f>
        <v>0</v>
      </c>
      <c r="K8" s="76"/>
      <c r="L8" s="76"/>
      <c r="M8" s="76"/>
      <c r="N8" s="312">
        <f>O8/C8</f>
        <v>135.1746</v>
      </c>
      <c r="O8" s="421">
        <f>'Development Costs'!E10*C8*1.1</f>
        <v>9928844.7192000002</v>
      </c>
      <c r="P8" s="312">
        <f>'Development Costs'!$D$21*325*'Dev Program Opt 2'!F37</f>
        <v>254915.99999999994</v>
      </c>
      <c r="Q8" s="472">
        <f>SUM('Dev Program Opt 1'!$E$8:$E$35)*'Scen 2 Proforma'!D8*D19</f>
        <v>1116907.0926327109</v>
      </c>
      <c r="R8" s="422">
        <f>P8+O8+Q8</f>
        <v>11300667.811832711</v>
      </c>
      <c r="S8" s="423">
        <f>((G8*C8)/R8)-1</f>
        <v>0.29995857276841331</v>
      </c>
      <c r="T8" s="76"/>
    </row>
    <row r="9" spans="1:20" x14ac:dyDescent="0.25">
      <c r="A9" s="76"/>
      <c r="B9" s="76" t="str">
        <f>'Dev Program Opt 1'!C39</f>
        <v>Resi Rental</v>
      </c>
      <c r="C9" s="364">
        <f>'Dev Program Opt 2'!D38</f>
        <v>546800</v>
      </c>
      <c r="D9" s="419">
        <f>C9/$C$12</f>
        <v>0.68774510667092625</v>
      </c>
      <c r="E9" s="364">
        <f>'Dev Program Opt 2'!E38</f>
        <v>577.01198557993723</v>
      </c>
      <c r="F9" s="326">
        <v>0.05</v>
      </c>
      <c r="G9" s="424"/>
      <c r="H9" s="420">
        <f>12*1.55</f>
        <v>18.600000000000001</v>
      </c>
      <c r="I9" s="454">
        <v>0.35</v>
      </c>
      <c r="J9" s="365">
        <f t="shared" ref="J9" si="0">I9*H9</f>
        <v>6.51</v>
      </c>
      <c r="K9" s="375">
        <f>(H9*(1-F9))-J9</f>
        <v>11.160000000000002</v>
      </c>
      <c r="L9" s="312">
        <f>K9*C9</f>
        <v>6102288.0000000009</v>
      </c>
      <c r="M9" s="76"/>
      <c r="N9" s="312">
        <f>O9/C9</f>
        <v>116.74169999999999</v>
      </c>
      <c r="O9" s="421">
        <f>'Development Costs'!E10*C9*0.95</f>
        <v>63834361.559999995</v>
      </c>
      <c r="P9" s="312">
        <f>'Development Costs'!$D$20*325*'Dev Program Opt 2'!F38</f>
        <v>11653010.78369906</v>
      </c>
      <c r="Q9" s="472">
        <f>SUM('Dev Program Opt 1'!$E$8:$E$35)*'Scen 2 Proforma'!D9*D20</f>
        <v>5919122.6997360801</v>
      </c>
      <c r="R9" s="422">
        <f>P9+O9+Q9</f>
        <v>81406495.043435127</v>
      </c>
      <c r="S9" s="423">
        <f>(L9)/R9</f>
        <v>7.496070180572291E-2</v>
      </c>
      <c r="T9" s="76"/>
    </row>
    <row r="10" spans="1:20" x14ac:dyDescent="0.25">
      <c r="A10" s="76"/>
      <c r="B10" s="76" t="str">
        <f>'Dev Program Opt 1'!C40</f>
        <v>Retail</v>
      </c>
      <c r="C10" s="364">
        <f>'Dev Program Opt 2'!D39</f>
        <v>89490</v>
      </c>
      <c r="D10" s="419">
        <f>C10/$C$12</f>
        <v>0.11255725968540818</v>
      </c>
      <c r="E10" s="364">
        <f>'Dev Program Opt 2'!E39</f>
        <v>0</v>
      </c>
      <c r="F10" s="326">
        <v>0.05</v>
      </c>
      <c r="G10" s="424"/>
      <c r="H10" s="420">
        <v>15</v>
      </c>
      <c r="I10" s="454">
        <v>0.1</v>
      </c>
      <c r="J10" s="365">
        <f>I10*H10</f>
        <v>1.5</v>
      </c>
      <c r="K10" s="375">
        <f>(H10*(1-F10))-J10</f>
        <v>12.75</v>
      </c>
      <c r="L10" s="312">
        <f>K10*C10</f>
        <v>1140997.5</v>
      </c>
      <c r="M10" s="76"/>
      <c r="N10" s="312">
        <f>O10/C10</f>
        <v>106.745</v>
      </c>
      <c r="O10" s="421">
        <f>AVERAGE('Development Costs'!E14:E16)*C10</f>
        <v>9552610.0500000007</v>
      </c>
      <c r="P10" s="312">
        <f>'Development Costs'!$D$20*325*'Dev Program Opt 2'!F39*0.95</f>
        <v>4083125.6756756753</v>
      </c>
      <c r="Q10" s="472">
        <f>SUM('Dev Program Opt 1'!$E$8:$E$35)*'Scen 2 Proforma'!D10*D21</f>
        <v>629187.2010124292</v>
      </c>
      <c r="R10" s="422">
        <f>P10+O10+Q10</f>
        <v>14264922.926688105</v>
      </c>
      <c r="S10" s="423">
        <f>(L10)/R10</f>
        <v>7.9986236579331169E-2</v>
      </c>
      <c r="T10" s="76"/>
    </row>
    <row r="11" spans="1:20" ht="16.5" x14ac:dyDescent="0.35">
      <c r="A11" s="76"/>
      <c r="B11" s="426" t="str">
        <f>'Dev Program Opt 1'!C41</f>
        <v>Office</v>
      </c>
      <c r="C11" s="427">
        <f>'Dev Program Opt 2'!D40</f>
        <v>85320</v>
      </c>
      <c r="D11" s="419">
        <f t="shared" ref="D11" si="1">C11/$C$12</f>
        <v>0.1073123857007378</v>
      </c>
      <c r="E11" s="427">
        <f>'Dev Program Opt 2'!E40</f>
        <v>0</v>
      </c>
      <c r="F11" s="326">
        <v>0.05</v>
      </c>
      <c r="G11" s="424"/>
      <c r="H11" s="420">
        <v>22</v>
      </c>
      <c r="I11" s="454">
        <v>0.15</v>
      </c>
      <c r="J11" s="365">
        <f>I11*H11</f>
        <v>3.3</v>
      </c>
      <c r="K11" s="375">
        <f t="shared" ref="K11" si="2">(H11*(1-F11))-J11</f>
        <v>17.599999999999998</v>
      </c>
      <c r="L11" s="312">
        <f>K11*C11</f>
        <v>1501631.9999999998</v>
      </c>
      <c r="M11" s="76"/>
      <c r="N11" s="312">
        <f t="shared" ref="N11" si="3">O11/C11</f>
        <v>160</v>
      </c>
      <c r="O11" s="421">
        <f>AVERAGE('Development Costs'!E12:E12)*C11</f>
        <v>13651200</v>
      </c>
      <c r="P11" s="312">
        <f>'Development Costs'!$D$20*325*'Dev Program Opt 2'!F40*0.95</f>
        <v>3647429.9999999995</v>
      </c>
      <c r="Q11" s="472">
        <f>SUM('Dev Program Opt 1'!$E$8:$E$35)*'Scen 2 Proforma'!D11*D22</f>
        <v>372332.31061334081</v>
      </c>
      <c r="R11" s="422">
        <f t="shared" ref="R11" si="4">P11+O11+Q11</f>
        <v>17670962.310613342</v>
      </c>
      <c r="S11" s="423">
        <f t="shared" ref="S11" si="5">(L11)/R11</f>
        <v>8.4977375516109038E-2</v>
      </c>
      <c r="T11" s="76"/>
    </row>
    <row r="12" spans="1:20" x14ac:dyDescent="0.25">
      <c r="A12" s="76"/>
      <c r="B12" s="76" t="str">
        <f>'Dev Program Opt 1'!C42</f>
        <v>Total</v>
      </c>
      <c r="C12" s="364">
        <f>'Dev Program Opt 2'!D41</f>
        <v>795062</v>
      </c>
      <c r="D12" s="378">
        <f>SUM(D8:D11)</f>
        <v>0.99999999999999989</v>
      </c>
      <c r="E12" s="364">
        <f>'Dev Program Opt 2'!E41</f>
        <v>625.01058557993724</v>
      </c>
      <c r="F12" s="76"/>
      <c r="G12" s="76"/>
      <c r="H12" s="76"/>
      <c r="I12" s="76"/>
      <c r="J12" s="76"/>
      <c r="K12" s="76"/>
      <c r="L12" s="76"/>
      <c r="M12" s="76"/>
      <c r="N12" s="76"/>
      <c r="O12" s="76"/>
      <c r="P12" s="76"/>
      <c r="Q12" s="76"/>
      <c r="R12" s="76"/>
      <c r="S12" s="76"/>
      <c r="T12" s="76"/>
    </row>
    <row r="13" spans="1:20" x14ac:dyDescent="0.25">
      <c r="A13" s="76"/>
      <c r="B13" s="76"/>
      <c r="C13" s="76"/>
      <c r="D13" s="76"/>
      <c r="E13" s="76"/>
      <c r="F13" s="76"/>
      <c r="G13" s="76"/>
      <c r="H13" s="76"/>
      <c r="I13" s="76"/>
      <c r="J13" s="76"/>
      <c r="K13" s="76"/>
      <c r="L13" s="76"/>
      <c r="M13" s="76"/>
      <c r="N13" s="76"/>
      <c r="O13" s="76"/>
      <c r="P13" s="76"/>
      <c r="Q13" s="76"/>
      <c r="R13" s="76"/>
      <c r="S13" s="76"/>
      <c r="T13" s="76"/>
    </row>
    <row r="14" spans="1:20" x14ac:dyDescent="0.25">
      <c r="A14" s="76"/>
      <c r="B14" s="76"/>
      <c r="C14" s="76"/>
      <c r="D14" s="76"/>
      <c r="E14" s="76"/>
      <c r="F14" s="76"/>
      <c r="G14" s="76"/>
      <c r="H14" s="365"/>
      <c r="I14" s="365"/>
      <c r="J14" s="76"/>
      <c r="K14" s="76"/>
      <c r="L14" s="76"/>
      <c r="M14" s="76"/>
      <c r="N14" s="76"/>
      <c r="O14" s="76"/>
      <c r="P14" s="76"/>
      <c r="Q14" s="76"/>
      <c r="R14" s="76"/>
      <c r="S14" s="76"/>
      <c r="T14" s="76"/>
    </row>
    <row r="15" spans="1:20" x14ac:dyDescent="0.25">
      <c r="A15" s="76"/>
      <c r="B15" s="76"/>
      <c r="C15" s="76"/>
      <c r="D15" s="76"/>
      <c r="E15" s="76"/>
      <c r="F15" s="76"/>
      <c r="G15" s="76"/>
      <c r="H15" s="76"/>
      <c r="I15" s="76"/>
      <c r="J15" s="76"/>
      <c r="K15" s="76"/>
      <c r="L15" s="76"/>
      <c r="M15" s="76"/>
      <c r="N15" s="76"/>
      <c r="O15" s="76"/>
      <c r="P15" s="76"/>
      <c r="Q15" s="76"/>
      <c r="R15" s="76"/>
      <c r="S15" s="76"/>
      <c r="T15" s="76"/>
    </row>
    <row r="16" spans="1:20" x14ac:dyDescent="0.25">
      <c r="A16" s="76"/>
      <c r="B16" s="381" t="s">
        <v>1081</v>
      </c>
      <c r="C16" s="76"/>
      <c r="D16" s="76"/>
      <c r="E16" s="76"/>
      <c r="F16" s="76"/>
      <c r="G16" s="76"/>
      <c r="H16" s="76"/>
      <c r="I16" s="76"/>
      <c r="J16" s="76"/>
      <c r="K16" s="76"/>
      <c r="L16" s="76"/>
      <c r="M16" s="76"/>
      <c r="N16" s="76"/>
      <c r="O16" s="76"/>
      <c r="P16" s="76"/>
      <c r="Q16" s="76"/>
      <c r="R16" s="76"/>
      <c r="S16" s="76"/>
      <c r="T16" s="76"/>
    </row>
    <row r="17" spans="1:20" x14ac:dyDescent="0.25">
      <c r="A17" s="76"/>
      <c r="B17" s="413"/>
      <c r="C17" s="76"/>
      <c r="D17" s="76"/>
      <c r="E17" s="76"/>
      <c r="F17" s="76"/>
      <c r="G17" s="76"/>
      <c r="H17" s="76"/>
      <c r="I17" s="76"/>
      <c r="J17" s="76"/>
      <c r="K17" s="76"/>
      <c r="L17" s="76"/>
      <c r="M17" s="76"/>
      <c r="N17" s="76"/>
      <c r="O17" s="76"/>
      <c r="P17" s="76"/>
      <c r="Q17" s="76"/>
      <c r="R17" s="76"/>
      <c r="S17" s="76"/>
      <c r="T17" s="76"/>
    </row>
    <row r="18" spans="1:20" s="456" customFormat="1" ht="45.75" customHeight="1" x14ac:dyDescent="0.25">
      <c r="A18" s="433"/>
      <c r="B18" s="475"/>
      <c r="C18" s="475" t="s">
        <v>1082</v>
      </c>
      <c r="D18" s="475" t="s">
        <v>1083</v>
      </c>
      <c r="E18" s="475" t="s">
        <v>1084</v>
      </c>
      <c r="F18" s="475" t="s">
        <v>1085</v>
      </c>
      <c r="G18" s="455" t="s">
        <v>1086</v>
      </c>
      <c r="H18" s="433"/>
      <c r="I18" s="433"/>
      <c r="J18" s="433"/>
      <c r="K18" s="433"/>
      <c r="L18" s="433"/>
      <c r="M18" s="433"/>
      <c r="N18" s="433"/>
      <c r="O18" s="433"/>
      <c r="P18" s="433"/>
      <c r="Q18" s="433"/>
      <c r="R18" s="433"/>
      <c r="S18" s="433"/>
      <c r="T18" s="433"/>
    </row>
    <row r="19" spans="1:20" x14ac:dyDescent="0.25">
      <c r="A19" s="76"/>
      <c r="B19" s="76" t="str">
        <f>B8</f>
        <v>Resi For Sale</v>
      </c>
      <c r="C19" s="429">
        <v>0.3</v>
      </c>
      <c r="D19" s="420">
        <v>31.36</v>
      </c>
      <c r="E19" s="326">
        <f>D8</f>
        <v>9.2385247942927726E-2</v>
      </c>
      <c r="F19" s="375">
        <f>E19*D19</f>
        <v>2.8972013754902135</v>
      </c>
      <c r="G19" s="362"/>
      <c r="H19" s="76"/>
      <c r="I19" s="76"/>
      <c r="J19" s="76"/>
      <c r="K19" s="76"/>
      <c r="L19" s="76"/>
      <c r="M19" s="76"/>
      <c r="N19" s="76"/>
      <c r="O19" s="76"/>
      <c r="P19" s="76"/>
      <c r="Q19" s="76"/>
      <c r="R19" s="76"/>
      <c r="S19" s="76"/>
      <c r="T19" s="76"/>
    </row>
    <row r="20" spans="1:20" x14ac:dyDescent="0.25">
      <c r="A20" s="76"/>
      <c r="B20" s="76" t="str">
        <f t="shared" ref="B20:B22" si="6">B9</f>
        <v>Resi Rental</v>
      </c>
      <c r="C20" s="429">
        <v>7.4999999999999997E-2</v>
      </c>
      <c r="D20" s="420">
        <v>22.324999999999999</v>
      </c>
      <c r="E20" s="326">
        <f>D9</f>
        <v>0.68774510667092625</v>
      </c>
      <c r="F20" s="375">
        <f>E20*D20</f>
        <v>15.353909506428428</v>
      </c>
      <c r="G20" s="362"/>
      <c r="H20" s="76"/>
      <c r="I20" s="76"/>
      <c r="J20" s="76"/>
      <c r="K20" s="76"/>
      <c r="L20" s="76"/>
      <c r="M20" s="76"/>
      <c r="N20" s="76"/>
      <c r="O20" s="76"/>
      <c r="P20" s="76"/>
      <c r="Q20" s="76"/>
      <c r="R20" s="76"/>
      <c r="S20" s="76"/>
      <c r="T20" s="76"/>
    </row>
    <row r="21" spans="1:20" x14ac:dyDescent="0.25">
      <c r="A21" s="76"/>
      <c r="B21" s="76" t="str">
        <f t="shared" si="6"/>
        <v>Retail</v>
      </c>
      <c r="C21" s="429">
        <v>0.08</v>
      </c>
      <c r="D21" s="420">
        <v>14.5</v>
      </c>
      <c r="E21" s="326">
        <f>D10</f>
        <v>0.11255725968540818</v>
      </c>
      <c r="F21" s="375">
        <f>E21*D21</f>
        <v>1.6320802654384186</v>
      </c>
      <c r="G21" s="362"/>
      <c r="H21" s="76"/>
      <c r="I21" s="76"/>
      <c r="J21" s="76"/>
      <c r="K21" s="76"/>
      <c r="L21" s="76"/>
      <c r="M21" s="76"/>
      <c r="N21" s="76"/>
      <c r="O21" s="76"/>
      <c r="P21" s="76"/>
      <c r="Q21" s="76"/>
      <c r="R21" s="76"/>
      <c r="S21" s="76"/>
      <c r="T21" s="76"/>
    </row>
    <row r="22" spans="1:20" x14ac:dyDescent="0.25">
      <c r="A22" s="76"/>
      <c r="B22" s="76" t="str">
        <f t="shared" si="6"/>
        <v>Office</v>
      </c>
      <c r="C22" s="429">
        <v>8.5000000000000006E-2</v>
      </c>
      <c r="D22" s="420">
        <v>9</v>
      </c>
      <c r="E22" s="326">
        <f>D11</f>
        <v>0.1073123857007378</v>
      </c>
      <c r="F22" s="375">
        <f>E22*D22</f>
        <v>0.96581147130664013</v>
      </c>
      <c r="G22" s="362"/>
      <c r="H22" s="76"/>
      <c r="I22" s="76"/>
      <c r="J22" s="76"/>
      <c r="K22" s="76"/>
      <c r="L22" s="76"/>
      <c r="M22" s="76"/>
      <c r="N22" s="76"/>
      <c r="O22" s="76"/>
      <c r="P22" s="76"/>
      <c r="Q22" s="76"/>
      <c r="R22" s="76"/>
      <c r="S22" s="76"/>
      <c r="T22" s="76"/>
    </row>
    <row r="23" spans="1:20" x14ac:dyDescent="0.25">
      <c r="A23" s="76"/>
      <c r="B23" s="76"/>
      <c r="C23" s="76"/>
      <c r="D23" s="76"/>
      <c r="E23" s="76"/>
      <c r="F23" s="473">
        <f>SUM(F19:F22)</f>
        <v>20.8490026186637</v>
      </c>
      <c r="G23" s="422">
        <f>F23*SUM('Dev Program Opt 1'!$E$8:$E$35)</f>
        <v>8037549.3039945615</v>
      </c>
      <c r="H23" s="76"/>
      <c r="I23" s="76"/>
      <c r="J23" s="76"/>
      <c r="K23" s="76"/>
      <c r="L23" s="76"/>
      <c r="M23" s="76"/>
      <c r="N23" s="76"/>
      <c r="O23" s="76"/>
      <c r="P23" s="76"/>
      <c r="Q23" s="76"/>
      <c r="R23" s="76"/>
      <c r="S23" s="76"/>
      <c r="T23" s="76"/>
    </row>
    <row r="24" spans="1:20" x14ac:dyDescent="0.25">
      <c r="A24" s="76"/>
      <c r="B24" s="76"/>
      <c r="C24" s="76"/>
      <c r="D24" s="76"/>
      <c r="E24" s="76"/>
      <c r="F24" s="76"/>
      <c r="G24" s="362"/>
      <c r="H24" s="76"/>
      <c r="I24" s="76"/>
      <c r="J24" s="76"/>
      <c r="K24" s="76"/>
      <c r="L24" s="76"/>
      <c r="M24" s="76"/>
      <c r="N24" s="76"/>
      <c r="O24" s="76"/>
      <c r="P24" s="76"/>
      <c r="Q24" s="76"/>
      <c r="R24" s="76"/>
      <c r="S24" s="76"/>
      <c r="T24" s="76"/>
    </row>
  </sheetData>
  <pageMargins left="0.7" right="0.7" top="0.75" bottom="0.75" header="0.3" footer="0.3"/>
  <pageSetup paperSize="3"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I53"/>
  <sheetViews>
    <sheetView showGridLines="0" view="pageBreakPreview" zoomScaleSheetLayoutView="100" workbookViewId="0"/>
  </sheetViews>
  <sheetFormatPr defaultColWidth="8.85546875" defaultRowHeight="12.75" x14ac:dyDescent="0.2"/>
  <cols>
    <col min="1" max="1" width="5.7109375" style="6" customWidth="1"/>
    <col min="2" max="2" width="23.28515625" style="143" customWidth="1"/>
    <col min="3" max="3" width="11.140625" style="143" customWidth="1"/>
    <col min="4" max="4" width="11.140625" style="158" customWidth="1"/>
    <col min="5" max="35" width="11.140625" style="143" customWidth="1"/>
    <col min="36" max="36" width="5.7109375" style="6" customWidth="1"/>
    <col min="37" max="239" width="8.85546875" style="6"/>
    <col min="240" max="240" width="37.42578125" style="6" customWidth="1"/>
    <col min="241" max="243" width="0" style="6" hidden="1" customWidth="1"/>
    <col min="244" max="244" width="15.42578125" style="6" bestFit="1" customWidth="1"/>
    <col min="245" max="245" width="16.140625" style="6" customWidth="1"/>
    <col min="246" max="246" width="14.42578125" style="6" customWidth="1"/>
    <col min="247" max="247" width="13" style="6" customWidth="1"/>
    <col min="248" max="273" width="12.7109375" style="6" customWidth="1"/>
    <col min="274" max="495" width="8.85546875" style="6"/>
    <col min="496" max="496" width="37.42578125" style="6" customWidth="1"/>
    <col min="497" max="499" width="0" style="6" hidden="1" customWidth="1"/>
    <col min="500" max="500" width="15.42578125" style="6" bestFit="1" customWidth="1"/>
    <col min="501" max="501" width="16.140625" style="6" customWidth="1"/>
    <col min="502" max="502" width="14.42578125" style="6" customWidth="1"/>
    <col min="503" max="503" width="13" style="6" customWidth="1"/>
    <col min="504" max="529" width="12.7109375" style="6" customWidth="1"/>
    <col min="530" max="751" width="8.85546875" style="6"/>
    <col min="752" max="752" width="37.42578125" style="6" customWidth="1"/>
    <col min="753" max="755" width="0" style="6" hidden="1" customWidth="1"/>
    <col min="756" max="756" width="15.42578125" style="6" bestFit="1" customWidth="1"/>
    <col min="757" max="757" width="16.140625" style="6" customWidth="1"/>
    <col min="758" max="758" width="14.42578125" style="6" customWidth="1"/>
    <col min="759" max="759" width="13" style="6" customWidth="1"/>
    <col min="760" max="785" width="12.7109375" style="6" customWidth="1"/>
    <col min="786" max="1007" width="8.85546875" style="6"/>
    <col min="1008" max="1008" width="37.42578125" style="6" customWidth="1"/>
    <col min="1009" max="1011" width="0" style="6" hidden="1" customWidth="1"/>
    <col min="1012" max="1012" width="15.42578125" style="6" bestFit="1" customWidth="1"/>
    <col min="1013" max="1013" width="16.140625" style="6" customWidth="1"/>
    <col min="1014" max="1014" width="14.42578125" style="6" customWidth="1"/>
    <col min="1015" max="1015" width="13" style="6" customWidth="1"/>
    <col min="1016" max="1041" width="12.7109375" style="6" customWidth="1"/>
    <col min="1042" max="1263" width="8.85546875" style="6"/>
    <col min="1264" max="1264" width="37.42578125" style="6" customWidth="1"/>
    <col min="1265" max="1267" width="0" style="6" hidden="1" customWidth="1"/>
    <col min="1268" max="1268" width="15.42578125" style="6" bestFit="1" customWidth="1"/>
    <col min="1269" max="1269" width="16.140625" style="6" customWidth="1"/>
    <col min="1270" max="1270" width="14.42578125" style="6" customWidth="1"/>
    <col min="1271" max="1271" width="13" style="6" customWidth="1"/>
    <col min="1272" max="1297" width="12.7109375" style="6" customWidth="1"/>
    <col min="1298" max="1519" width="8.85546875" style="6"/>
    <col min="1520" max="1520" width="37.42578125" style="6" customWidth="1"/>
    <col min="1521" max="1523" width="0" style="6" hidden="1" customWidth="1"/>
    <col min="1524" max="1524" width="15.42578125" style="6" bestFit="1" customWidth="1"/>
    <col min="1525" max="1525" width="16.140625" style="6" customWidth="1"/>
    <col min="1526" max="1526" width="14.42578125" style="6" customWidth="1"/>
    <col min="1527" max="1527" width="13" style="6" customWidth="1"/>
    <col min="1528" max="1553" width="12.7109375" style="6" customWidth="1"/>
    <col min="1554" max="1775" width="8.85546875" style="6"/>
    <col min="1776" max="1776" width="37.42578125" style="6" customWidth="1"/>
    <col min="1777" max="1779" width="0" style="6" hidden="1" customWidth="1"/>
    <col min="1780" max="1780" width="15.42578125" style="6" bestFit="1" customWidth="1"/>
    <col min="1781" max="1781" width="16.140625" style="6" customWidth="1"/>
    <col min="1782" max="1782" width="14.42578125" style="6" customWidth="1"/>
    <col min="1783" max="1783" width="13" style="6" customWidth="1"/>
    <col min="1784" max="1809" width="12.7109375" style="6" customWidth="1"/>
    <col min="1810" max="2031" width="8.85546875" style="6"/>
    <col min="2032" max="2032" width="37.42578125" style="6" customWidth="1"/>
    <col min="2033" max="2035" width="0" style="6" hidden="1" customWidth="1"/>
    <col min="2036" max="2036" width="15.42578125" style="6" bestFit="1" customWidth="1"/>
    <col min="2037" max="2037" width="16.140625" style="6" customWidth="1"/>
    <col min="2038" max="2038" width="14.42578125" style="6" customWidth="1"/>
    <col min="2039" max="2039" width="13" style="6" customWidth="1"/>
    <col min="2040" max="2065" width="12.7109375" style="6" customWidth="1"/>
    <col min="2066" max="2287" width="8.85546875" style="6"/>
    <col min="2288" max="2288" width="37.42578125" style="6" customWidth="1"/>
    <col min="2289" max="2291" width="0" style="6" hidden="1" customWidth="1"/>
    <col min="2292" max="2292" width="15.42578125" style="6" bestFit="1" customWidth="1"/>
    <col min="2293" max="2293" width="16.140625" style="6" customWidth="1"/>
    <col min="2294" max="2294" width="14.42578125" style="6" customWidth="1"/>
    <col min="2295" max="2295" width="13" style="6" customWidth="1"/>
    <col min="2296" max="2321" width="12.7109375" style="6" customWidth="1"/>
    <col min="2322" max="2543" width="8.85546875" style="6"/>
    <col min="2544" max="2544" width="37.42578125" style="6" customWidth="1"/>
    <col min="2545" max="2547" width="0" style="6" hidden="1" customWidth="1"/>
    <col min="2548" max="2548" width="15.42578125" style="6" bestFit="1" customWidth="1"/>
    <col min="2549" max="2549" width="16.140625" style="6" customWidth="1"/>
    <col min="2550" max="2550" width="14.42578125" style="6" customWidth="1"/>
    <col min="2551" max="2551" width="13" style="6" customWidth="1"/>
    <col min="2552" max="2577" width="12.7109375" style="6" customWidth="1"/>
    <col min="2578" max="2799" width="8.85546875" style="6"/>
    <col min="2800" max="2800" width="37.42578125" style="6" customWidth="1"/>
    <col min="2801" max="2803" width="0" style="6" hidden="1" customWidth="1"/>
    <col min="2804" max="2804" width="15.42578125" style="6" bestFit="1" customWidth="1"/>
    <col min="2805" max="2805" width="16.140625" style="6" customWidth="1"/>
    <col min="2806" max="2806" width="14.42578125" style="6" customWidth="1"/>
    <col min="2807" max="2807" width="13" style="6" customWidth="1"/>
    <col min="2808" max="2833" width="12.7109375" style="6" customWidth="1"/>
    <col min="2834" max="3055" width="8.85546875" style="6"/>
    <col min="3056" max="3056" width="37.42578125" style="6" customWidth="1"/>
    <col min="3057" max="3059" width="0" style="6" hidden="1" customWidth="1"/>
    <col min="3060" max="3060" width="15.42578125" style="6" bestFit="1" customWidth="1"/>
    <col min="3061" max="3061" width="16.140625" style="6" customWidth="1"/>
    <col min="3062" max="3062" width="14.42578125" style="6" customWidth="1"/>
    <col min="3063" max="3063" width="13" style="6" customWidth="1"/>
    <col min="3064" max="3089" width="12.7109375" style="6" customWidth="1"/>
    <col min="3090" max="3311" width="8.85546875" style="6"/>
    <col min="3312" max="3312" width="37.42578125" style="6" customWidth="1"/>
    <col min="3313" max="3315" width="0" style="6" hidden="1" customWidth="1"/>
    <col min="3316" max="3316" width="15.42578125" style="6" bestFit="1" customWidth="1"/>
    <col min="3317" max="3317" width="16.140625" style="6" customWidth="1"/>
    <col min="3318" max="3318" width="14.42578125" style="6" customWidth="1"/>
    <col min="3319" max="3319" width="13" style="6" customWidth="1"/>
    <col min="3320" max="3345" width="12.7109375" style="6" customWidth="1"/>
    <col min="3346" max="3567" width="8.85546875" style="6"/>
    <col min="3568" max="3568" width="37.42578125" style="6" customWidth="1"/>
    <col min="3569" max="3571" width="0" style="6" hidden="1" customWidth="1"/>
    <col min="3572" max="3572" width="15.42578125" style="6" bestFit="1" customWidth="1"/>
    <col min="3573" max="3573" width="16.140625" style="6" customWidth="1"/>
    <col min="3574" max="3574" width="14.42578125" style="6" customWidth="1"/>
    <col min="3575" max="3575" width="13" style="6" customWidth="1"/>
    <col min="3576" max="3601" width="12.7109375" style="6" customWidth="1"/>
    <col min="3602" max="3823" width="8.85546875" style="6"/>
    <col min="3824" max="3824" width="37.42578125" style="6" customWidth="1"/>
    <col min="3825" max="3827" width="0" style="6" hidden="1" customWidth="1"/>
    <col min="3828" max="3828" width="15.42578125" style="6" bestFit="1" customWidth="1"/>
    <col min="3829" max="3829" width="16.140625" style="6" customWidth="1"/>
    <col min="3830" max="3830" width="14.42578125" style="6" customWidth="1"/>
    <col min="3831" max="3831" width="13" style="6" customWidth="1"/>
    <col min="3832" max="3857" width="12.7109375" style="6" customWidth="1"/>
    <col min="3858" max="4079" width="8.85546875" style="6"/>
    <col min="4080" max="4080" width="37.42578125" style="6" customWidth="1"/>
    <col min="4081" max="4083" width="0" style="6" hidden="1" customWidth="1"/>
    <col min="4084" max="4084" width="15.42578125" style="6" bestFit="1" customWidth="1"/>
    <col min="4085" max="4085" width="16.140625" style="6" customWidth="1"/>
    <col min="4086" max="4086" width="14.42578125" style="6" customWidth="1"/>
    <col min="4087" max="4087" width="13" style="6" customWidth="1"/>
    <col min="4088" max="4113" width="12.7109375" style="6" customWidth="1"/>
    <col min="4114" max="4335" width="8.85546875" style="6"/>
    <col min="4336" max="4336" width="37.42578125" style="6" customWidth="1"/>
    <col min="4337" max="4339" width="0" style="6" hidden="1" customWidth="1"/>
    <col min="4340" max="4340" width="15.42578125" style="6" bestFit="1" customWidth="1"/>
    <col min="4341" max="4341" width="16.140625" style="6" customWidth="1"/>
    <col min="4342" max="4342" width="14.42578125" style="6" customWidth="1"/>
    <col min="4343" max="4343" width="13" style="6" customWidth="1"/>
    <col min="4344" max="4369" width="12.7109375" style="6" customWidth="1"/>
    <col min="4370" max="4591" width="8.85546875" style="6"/>
    <col min="4592" max="4592" width="37.42578125" style="6" customWidth="1"/>
    <col min="4593" max="4595" width="0" style="6" hidden="1" customWidth="1"/>
    <col min="4596" max="4596" width="15.42578125" style="6" bestFit="1" customWidth="1"/>
    <col min="4597" max="4597" width="16.140625" style="6" customWidth="1"/>
    <col min="4598" max="4598" width="14.42578125" style="6" customWidth="1"/>
    <col min="4599" max="4599" width="13" style="6" customWidth="1"/>
    <col min="4600" max="4625" width="12.7109375" style="6" customWidth="1"/>
    <col min="4626" max="4847" width="8.85546875" style="6"/>
    <col min="4848" max="4848" width="37.42578125" style="6" customWidth="1"/>
    <col min="4849" max="4851" width="0" style="6" hidden="1" customWidth="1"/>
    <col min="4852" max="4852" width="15.42578125" style="6" bestFit="1" customWidth="1"/>
    <col min="4853" max="4853" width="16.140625" style="6" customWidth="1"/>
    <col min="4854" max="4854" width="14.42578125" style="6" customWidth="1"/>
    <col min="4855" max="4855" width="13" style="6" customWidth="1"/>
    <col min="4856" max="4881" width="12.7109375" style="6" customWidth="1"/>
    <col min="4882" max="5103" width="8.85546875" style="6"/>
    <col min="5104" max="5104" width="37.42578125" style="6" customWidth="1"/>
    <col min="5105" max="5107" width="0" style="6" hidden="1" customWidth="1"/>
    <col min="5108" max="5108" width="15.42578125" style="6" bestFit="1" customWidth="1"/>
    <col min="5109" max="5109" width="16.140625" style="6" customWidth="1"/>
    <col min="5110" max="5110" width="14.42578125" style="6" customWidth="1"/>
    <col min="5111" max="5111" width="13" style="6" customWidth="1"/>
    <col min="5112" max="5137" width="12.7109375" style="6" customWidth="1"/>
    <col min="5138" max="5359" width="8.85546875" style="6"/>
    <col min="5360" max="5360" width="37.42578125" style="6" customWidth="1"/>
    <col min="5361" max="5363" width="0" style="6" hidden="1" customWidth="1"/>
    <col min="5364" max="5364" width="15.42578125" style="6" bestFit="1" customWidth="1"/>
    <col min="5365" max="5365" width="16.140625" style="6" customWidth="1"/>
    <col min="5366" max="5366" width="14.42578125" style="6" customWidth="1"/>
    <col min="5367" max="5367" width="13" style="6" customWidth="1"/>
    <col min="5368" max="5393" width="12.7109375" style="6" customWidth="1"/>
    <col min="5394" max="5615" width="8.85546875" style="6"/>
    <col min="5616" max="5616" width="37.42578125" style="6" customWidth="1"/>
    <col min="5617" max="5619" width="0" style="6" hidden="1" customWidth="1"/>
    <col min="5620" max="5620" width="15.42578125" style="6" bestFit="1" customWidth="1"/>
    <col min="5621" max="5621" width="16.140625" style="6" customWidth="1"/>
    <col min="5622" max="5622" width="14.42578125" style="6" customWidth="1"/>
    <col min="5623" max="5623" width="13" style="6" customWidth="1"/>
    <col min="5624" max="5649" width="12.7109375" style="6" customWidth="1"/>
    <col min="5650" max="5871" width="8.85546875" style="6"/>
    <col min="5872" max="5872" width="37.42578125" style="6" customWidth="1"/>
    <col min="5873" max="5875" width="0" style="6" hidden="1" customWidth="1"/>
    <col min="5876" max="5876" width="15.42578125" style="6" bestFit="1" customWidth="1"/>
    <col min="5877" max="5877" width="16.140625" style="6" customWidth="1"/>
    <col min="5878" max="5878" width="14.42578125" style="6" customWidth="1"/>
    <col min="5879" max="5879" width="13" style="6" customWidth="1"/>
    <col min="5880" max="5905" width="12.7109375" style="6" customWidth="1"/>
    <col min="5906" max="6127" width="8.85546875" style="6"/>
    <col min="6128" max="6128" width="37.42578125" style="6" customWidth="1"/>
    <col min="6129" max="6131" width="0" style="6" hidden="1" customWidth="1"/>
    <col min="6132" max="6132" width="15.42578125" style="6" bestFit="1" customWidth="1"/>
    <col min="6133" max="6133" width="16.140625" style="6" customWidth="1"/>
    <col min="6134" max="6134" width="14.42578125" style="6" customWidth="1"/>
    <col min="6135" max="6135" width="13" style="6" customWidth="1"/>
    <col min="6136" max="6161" width="12.7109375" style="6" customWidth="1"/>
    <col min="6162" max="6383" width="8.85546875" style="6"/>
    <col min="6384" max="6384" width="37.42578125" style="6" customWidth="1"/>
    <col min="6385" max="6387" width="0" style="6" hidden="1" customWidth="1"/>
    <col min="6388" max="6388" width="15.42578125" style="6" bestFit="1" customWidth="1"/>
    <col min="6389" max="6389" width="16.140625" style="6" customWidth="1"/>
    <col min="6390" max="6390" width="14.42578125" style="6" customWidth="1"/>
    <col min="6391" max="6391" width="13" style="6" customWidth="1"/>
    <col min="6392" max="6417" width="12.7109375" style="6" customWidth="1"/>
    <col min="6418" max="6639" width="8.85546875" style="6"/>
    <col min="6640" max="6640" width="37.42578125" style="6" customWidth="1"/>
    <col min="6641" max="6643" width="0" style="6" hidden="1" customWidth="1"/>
    <col min="6644" max="6644" width="15.42578125" style="6" bestFit="1" customWidth="1"/>
    <col min="6645" max="6645" width="16.140625" style="6" customWidth="1"/>
    <col min="6646" max="6646" width="14.42578125" style="6" customWidth="1"/>
    <col min="6647" max="6647" width="13" style="6" customWidth="1"/>
    <col min="6648" max="6673" width="12.7109375" style="6" customWidth="1"/>
    <col min="6674" max="6895" width="8.85546875" style="6"/>
    <col min="6896" max="6896" width="37.42578125" style="6" customWidth="1"/>
    <col min="6897" max="6899" width="0" style="6" hidden="1" customWidth="1"/>
    <col min="6900" max="6900" width="15.42578125" style="6" bestFit="1" customWidth="1"/>
    <col min="6901" max="6901" width="16.140625" style="6" customWidth="1"/>
    <col min="6902" max="6902" width="14.42578125" style="6" customWidth="1"/>
    <col min="6903" max="6903" width="13" style="6" customWidth="1"/>
    <col min="6904" max="6929" width="12.7109375" style="6" customWidth="1"/>
    <col min="6930" max="7151" width="8.85546875" style="6"/>
    <col min="7152" max="7152" width="37.42578125" style="6" customWidth="1"/>
    <col min="7153" max="7155" width="0" style="6" hidden="1" customWidth="1"/>
    <col min="7156" max="7156" width="15.42578125" style="6" bestFit="1" customWidth="1"/>
    <col min="7157" max="7157" width="16.140625" style="6" customWidth="1"/>
    <col min="7158" max="7158" width="14.42578125" style="6" customWidth="1"/>
    <col min="7159" max="7159" width="13" style="6" customWidth="1"/>
    <col min="7160" max="7185" width="12.7109375" style="6" customWidth="1"/>
    <col min="7186" max="7407" width="8.85546875" style="6"/>
    <col min="7408" max="7408" width="37.42578125" style="6" customWidth="1"/>
    <col min="7409" max="7411" width="0" style="6" hidden="1" customWidth="1"/>
    <col min="7412" max="7412" width="15.42578125" style="6" bestFit="1" customWidth="1"/>
    <col min="7413" max="7413" width="16.140625" style="6" customWidth="1"/>
    <col min="7414" max="7414" width="14.42578125" style="6" customWidth="1"/>
    <col min="7415" max="7415" width="13" style="6" customWidth="1"/>
    <col min="7416" max="7441" width="12.7109375" style="6" customWidth="1"/>
    <col min="7442" max="7663" width="8.85546875" style="6"/>
    <col min="7664" max="7664" width="37.42578125" style="6" customWidth="1"/>
    <col min="7665" max="7667" width="0" style="6" hidden="1" customWidth="1"/>
    <col min="7668" max="7668" width="15.42578125" style="6" bestFit="1" customWidth="1"/>
    <col min="7669" max="7669" width="16.140625" style="6" customWidth="1"/>
    <col min="7670" max="7670" width="14.42578125" style="6" customWidth="1"/>
    <col min="7671" max="7671" width="13" style="6" customWidth="1"/>
    <col min="7672" max="7697" width="12.7109375" style="6" customWidth="1"/>
    <col min="7698" max="7919" width="8.85546875" style="6"/>
    <col min="7920" max="7920" width="37.42578125" style="6" customWidth="1"/>
    <col min="7921" max="7923" width="0" style="6" hidden="1" customWidth="1"/>
    <col min="7924" max="7924" width="15.42578125" style="6" bestFit="1" customWidth="1"/>
    <col min="7925" max="7925" width="16.140625" style="6" customWidth="1"/>
    <col min="7926" max="7926" width="14.42578125" style="6" customWidth="1"/>
    <col min="7927" max="7927" width="13" style="6" customWidth="1"/>
    <col min="7928" max="7953" width="12.7109375" style="6" customWidth="1"/>
    <col min="7954" max="8175" width="8.85546875" style="6"/>
    <col min="8176" max="8176" width="37.42578125" style="6" customWidth="1"/>
    <col min="8177" max="8179" width="0" style="6" hidden="1" customWidth="1"/>
    <col min="8180" max="8180" width="15.42578125" style="6" bestFit="1" customWidth="1"/>
    <col min="8181" max="8181" width="16.140625" style="6" customWidth="1"/>
    <col min="8182" max="8182" width="14.42578125" style="6" customWidth="1"/>
    <col min="8183" max="8183" width="13" style="6" customWidth="1"/>
    <col min="8184" max="8209" width="12.7109375" style="6" customWidth="1"/>
    <col min="8210" max="8431" width="8.85546875" style="6"/>
    <col min="8432" max="8432" width="37.42578125" style="6" customWidth="1"/>
    <col min="8433" max="8435" width="0" style="6" hidden="1" customWidth="1"/>
    <col min="8436" max="8436" width="15.42578125" style="6" bestFit="1" customWidth="1"/>
    <col min="8437" max="8437" width="16.140625" style="6" customWidth="1"/>
    <col min="8438" max="8438" width="14.42578125" style="6" customWidth="1"/>
    <col min="8439" max="8439" width="13" style="6" customWidth="1"/>
    <col min="8440" max="8465" width="12.7109375" style="6" customWidth="1"/>
    <col min="8466" max="8687" width="8.85546875" style="6"/>
    <col min="8688" max="8688" width="37.42578125" style="6" customWidth="1"/>
    <col min="8689" max="8691" width="0" style="6" hidden="1" customWidth="1"/>
    <col min="8692" max="8692" width="15.42578125" style="6" bestFit="1" customWidth="1"/>
    <col min="8693" max="8693" width="16.140625" style="6" customWidth="1"/>
    <col min="8694" max="8694" width="14.42578125" style="6" customWidth="1"/>
    <col min="8695" max="8695" width="13" style="6" customWidth="1"/>
    <col min="8696" max="8721" width="12.7109375" style="6" customWidth="1"/>
    <col min="8722" max="8943" width="8.85546875" style="6"/>
    <col min="8944" max="8944" width="37.42578125" style="6" customWidth="1"/>
    <col min="8945" max="8947" width="0" style="6" hidden="1" customWidth="1"/>
    <col min="8948" max="8948" width="15.42578125" style="6" bestFit="1" customWidth="1"/>
    <col min="8949" max="8949" width="16.140625" style="6" customWidth="1"/>
    <col min="8950" max="8950" width="14.42578125" style="6" customWidth="1"/>
    <col min="8951" max="8951" width="13" style="6" customWidth="1"/>
    <col min="8952" max="8977" width="12.7109375" style="6" customWidth="1"/>
    <col min="8978" max="9199" width="8.85546875" style="6"/>
    <col min="9200" max="9200" width="37.42578125" style="6" customWidth="1"/>
    <col min="9201" max="9203" width="0" style="6" hidden="1" customWidth="1"/>
    <col min="9204" max="9204" width="15.42578125" style="6" bestFit="1" customWidth="1"/>
    <col min="9205" max="9205" width="16.140625" style="6" customWidth="1"/>
    <col min="9206" max="9206" width="14.42578125" style="6" customWidth="1"/>
    <col min="9207" max="9207" width="13" style="6" customWidth="1"/>
    <col min="9208" max="9233" width="12.7109375" style="6" customWidth="1"/>
    <col min="9234" max="9455" width="8.85546875" style="6"/>
    <col min="9456" max="9456" width="37.42578125" style="6" customWidth="1"/>
    <col min="9457" max="9459" width="0" style="6" hidden="1" customWidth="1"/>
    <col min="9460" max="9460" width="15.42578125" style="6" bestFit="1" customWidth="1"/>
    <col min="9461" max="9461" width="16.140625" style="6" customWidth="1"/>
    <col min="9462" max="9462" width="14.42578125" style="6" customWidth="1"/>
    <col min="9463" max="9463" width="13" style="6" customWidth="1"/>
    <col min="9464" max="9489" width="12.7109375" style="6" customWidth="1"/>
    <col min="9490" max="9711" width="8.85546875" style="6"/>
    <col min="9712" max="9712" width="37.42578125" style="6" customWidth="1"/>
    <col min="9713" max="9715" width="0" style="6" hidden="1" customWidth="1"/>
    <col min="9716" max="9716" width="15.42578125" style="6" bestFit="1" customWidth="1"/>
    <col min="9717" max="9717" width="16.140625" style="6" customWidth="1"/>
    <col min="9718" max="9718" width="14.42578125" style="6" customWidth="1"/>
    <col min="9719" max="9719" width="13" style="6" customWidth="1"/>
    <col min="9720" max="9745" width="12.7109375" style="6" customWidth="1"/>
    <col min="9746" max="9967" width="8.85546875" style="6"/>
    <col min="9968" max="9968" width="37.42578125" style="6" customWidth="1"/>
    <col min="9969" max="9971" width="0" style="6" hidden="1" customWidth="1"/>
    <col min="9972" max="9972" width="15.42578125" style="6" bestFit="1" customWidth="1"/>
    <col min="9973" max="9973" width="16.140625" style="6" customWidth="1"/>
    <col min="9974" max="9974" width="14.42578125" style="6" customWidth="1"/>
    <col min="9975" max="9975" width="13" style="6" customWidth="1"/>
    <col min="9976" max="10001" width="12.7109375" style="6" customWidth="1"/>
    <col min="10002" max="10223" width="8.85546875" style="6"/>
    <col min="10224" max="10224" width="37.42578125" style="6" customWidth="1"/>
    <col min="10225" max="10227" width="0" style="6" hidden="1" customWidth="1"/>
    <col min="10228" max="10228" width="15.42578125" style="6" bestFit="1" customWidth="1"/>
    <col min="10229" max="10229" width="16.140625" style="6" customWidth="1"/>
    <col min="10230" max="10230" width="14.42578125" style="6" customWidth="1"/>
    <col min="10231" max="10231" width="13" style="6" customWidth="1"/>
    <col min="10232" max="10257" width="12.7109375" style="6" customWidth="1"/>
    <col min="10258" max="10479" width="8.85546875" style="6"/>
    <col min="10480" max="10480" width="37.42578125" style="6" customWidth="1"/>
    <col min="10481" max="10483" width="0" style="6" hidden="1" customWidth="1"/>
    <col min="10484" max="10484" width="15.42578125" style="6" bestFit="1" customWidth="1"/>
    <col min="10485" max="10485" width="16.140625" style="6" customWidth="1"/>
    <col min="10486" max="10486" width="14.42578125" style="6" customWidth="1"/>
    <col min="10487" max="10487" width="13" style="6" customWidth="1"/>
    <col min="10488" max="10513" width="12.7109375" style="6" customWidth="1"/>
    <col min="10514" max="10735" width="8.85546875" style="6"/>
    <col min="10736" max="10736" width="37.42578125" style="6" customWidth="1"/>
    <col min="10737" max="10739" width="0" style="6" hidden="1" customWidth="1"/>
    <col min="10740" max="10740" width="15.42578125" style="6" bestFit="1" customWidth="1"/>
    <col min="10741" max="10741" width="16.140625" style="6" customWidth="1"/>
    <col min="10742" max="10742" width="14.42578125" style="6" customWidth="1"/>
    <col min="10743" max="10743" width="13" style="6" customWidth="1"/>
    <col min="10744" max="10769" width="12.7109375" style="6" customWidth="1"/>
    <col min="10770" max="10991" width="8.85546875" style="6"/>
    <col min="10992" max="10992" width="37.42578125" style="6" customWidth="1"/>
    <col min="10993" max="10995" width="0" style="6" hidden="1" customWidth="1"/>
    <col min="10996" max="10996" width="15.42578125" style="6" bestFit="1" customWidth="1"/>
    <col min="10997" max="10997" width="16.140625" style="6" customWidth="1"/>
    <col min="10998" max="10998" width="14.42578125" style="6" customWidth="1"/>
    <col min="10999" max="10999" width="13" style="6" customWidth="1"/>
    <col min="11000" max="11025" width="12.7109375" style="6" customWidth="1"/>
    <col min="11026" max="11247" width="8.85546875" style="6"/>
    <col min="11248" max="11248" width="37.42578125" style="6" customWidth="1"/>
    <col min="11249" max="11251" width="0" style="6" hidden="1" customWidth="1"/>
    <col min="11252" max="11252" width="15.42578125" style="6" bestFit="1" customWidth="1"/>
    <col min="11253" max="11253" width="16.140625" style="6" customWidth="1"/>
    <col min="11254" max="11254" width="14.42578125" style="6" customWidth="1"/>
    <col min="11255" max="11255" width="13" style="6" customWidth="1"/>
    <col min="11256" max="11281" width="12.7109375" style="6" customWidth="1"/>
    <col min="11282" max="11503" width="8.85546875" style="6"/>
    <col min="11504" max="11504" width="37.42578125" style="6" customWidth="1"/>
    <col min="11505" max="11507" width="0" style="6" hidden="1" customWidth="1"/>
    <col min="11508" max="11508" width="15.42578125" style="6" bestFit="1" customWidth="1"/>
    <col min="11509" max="11509" width="16.140625" style="6" customWidth="1"/>
    <col min="11510" max="11510" width="14.42578125" style="6" customWidth="1"/>
    <col min="11511" max="11511" width="13" style="6" customWidth="1"/>
    <col min="11512" max="11537" width="12.7109375" style="6" customWidth="1"/>
    <col min="11538" max="11759" width="8.85546875" style="6"/>
    <col min="11760" max="11760" width="37.42578125" style="6" customWidth="1"/>
    <col min="11761" max="11763" width="0" style="6" hidden="1" customWidth="1"/>
    <col min="11764" max="11764" width="15.42578125" style="6" bestFit="1" customWidth="1"/>
    <col min="11765" max="11765" width="16.140625" style="6" customWidth="1"/>
    <col min="11766" max="11766" width="14.42578125" style="6" customWidth="1"/>
    <col min="11767" max="11767" width="13" style="6" customWidth="1"/>
    <col min="11768" max="11793" width="12.7109375" style="6" customWidth="1"/>
    <col min="11794" max="12015" width="8.85546875" style="6"/>
    <col min="12016" max="12016" width="37.42578125" style="6" customWidth="1"/>
    <col min="12017" max="12019" width="0" style="6" hidden="1" customWidth="1"/>
    <col min="12020" max="12020" width="15.42578125" style="6" bestFit="1" customWidth="1"/>
    <col min="12021" max="12021" width="16.140625" style="6" customWidth="1"/>
    <col min="12022" max="12022" width="14.42578125" style="6" customWidth="1"/>
    <col min="12023" max="12023" width="13" style="6" customWidth="1"/>
    <col min="12024" max="12049" width="12.7109375" style="6" customWidth="1"/>
    <col min="12050" max="12271" width="8.85546875" style="6"/>
    <col min="12272" max="12272" width="37.42578125" style="6" customWidth="1"/>
    <col min="12273" max="12275" width="0" style="6" hidden="1" customWidth="1"/>
    <col min="12276" max="12276" width="15.42578125" style="6" bestFit="1" customWidth="1"/>
    <col min="12277" max="12277" width="16.140625" style="6" customWidth="1"/>
    <col min="12278" max="12278" width="14.42578125" style="6" customWidth="1"/>
    <col min="12279" max="12279" width="13" style="6" customWidth="1"/>
    <col min="12280" max="12305" width="12.7109375" style="6" customWidth="1"/>
    <col min="12306" max="12527" width="8.85546875" style="6"/>
    <col min="12528" max="12528" width="37.42578125" style="6" customWidth="1"/>
    <col min="12529" max="12531" width="0" style="6" hidden="1" customWidth="1"/>
    <col min="12532" max="12532" width="15.42578125" style="6" bestFit="1" customWidth="1"/>
    <col min="12533" max="12533" width="16.140625" style="6" customWidth="1"/>
    <col min="12534" max="12534" width="14.42578125" style="6" customWidth="1"/>
    <col min="12535" max="12535" width="13" style="6" customWidth="1"/>
    <col min="12536" max="12561" width="12.7109375" style="6" customWidth="1"/>
    <col min="12562" max="12783" width="8.85546875" style="6"/>
    <col min="12784" max="12784" width="37.42578125" style="6" customWidth="1"/>
    <col min="12785" max="12787" width="0" style="6" hidden="1" customWidth="1"/>
    <col min="12788" max="12788" width="15.42578125" style="6" bestFit="1" customWidth="1"/>
    <col min="12789" max="12789" width="16.140625" style="6" customWidth="1"/>
    <col min="12790" max="12790" width="14.42578125" style="6" customWidth="1"/>
    <col min="12791" max="12791" width="13" style="6" customWidth="1"/>
    <col min="12792" max="12817" width="12.7109375" style="6" customWidth="1"/>
    <col min="12818" max="13039" width="8.85546875" style="6"/>
    <col min="13040" max="13040" width="37.42578125" style="6" customWidth="1"/>
    <col min="13041" max="13043" width="0" style="6" hidden="1" customWidth="1"/>
    <col min="13044" max="13044" width="15.42578125" style="6" bestFit="1" customWidth="1"/>
    <col min="13045" max="13045" width="16.140625" style="6" customWidth="1"/>
    <col min="13046" max="13046" width="14.42578125" style="6" customWidth="1"/>
    <col min="13047" max="13047" width="13" style="6" customWidth="1"/>
    <col min="13048" max="13073" width="12.7109375" style="6" customWidth="1"/>
    <col min="13074" max="13295" width="8.85546875" style="6"/>
    <col min="13296" max="13296" width="37.42578125" style="6" customWidth="1"/>
    <col min="13297" max="13299" width="0" style="6" hidden="1" customWidth="1"/>
    <col min="13300" max="13300" width="15.42578125" style="6" bestFit="1" customWidth="1"/>
    <col min="13301" max="13301" width="16.140625" style="6" customWidth="1"/>
    <col min="13302" max="13302" width="14.42578125" style="6" customWidth="1"/>
    <col min="13303" max="13303" width="13" style="6" customWidth="1"/>
    <col min="13304" max="13329" width="12.7109375" style="6" customWidth="1"/>
    <col min="13330" max="13551" width="8.85546875" style="6"/>
    <col min="13552" max="13552" width="37.42578125" style="6" customWidth="1"/>
    <col min="13553" max="13555" width="0" style="6" hidden="1" customWidth="1"/>
    <col min="13556" max="13556" width="15.42578125" style="6" bestFit="1" customWidth="1"/>
    <col min="13557" max="13557" width="16.140625" style="6" customWidth="1"/>
    <col min="13558" max="13558" width="14.42578125" style="6" customWidth="1"/>
    <col min="13559" max="13559" width="13" style="6" customWidth="1"/>
    <col min="13560" max="13585" width="12.7109375" style="6" customWidth="1"/>
    <col min="13586" max="13807" width="8.85546875" style="6"/>
    <col min="13808" max="13808" width="37.42578125" style="6" customWidth="1"/>
    <col min="13809" max="13811" width="0" style="6" hidden="1" customWidth="1"/>
    <col min="13812" max="13812" width="15.42578125" style="6" bestFit="1" customWidth="1"/>
    <col min="13813" max="13813" width="16.140625" style="6" customWidth="1"/>
    <col min="13814" max="13814" width="14.42578125" style="6" customWidth="1"/>
    <col min="13815" max="13815" width="13" style="6" customWidth="1"/>
    <col min="13816" max="13841" width="12.7109375" style="6" customWidth="1"/>
    <col min="13842" max="14063" width="8.85546875" style="6"/>
    <col min="14064" max="14064" width="37.42578125" style="6" customWidth="1"/>
    <col min="14065" max="14067" width="0" style="6" hidden="1" customWidth="1"/>
    <col min="14068" max="14068" width="15.42578125" style="6" bestFit="1" customWidth="1"/>
    <col min="14069" max="14069" width="16.140625" style="6" customWidth="1"/>
    <col min="14070" max="14070" width="14.42578125" style="6" customWidth="1"/>
    <col min="14071" max="14071" width="13" style="6" customWidth="1"/>
    <col min="14072" max="14097" width="12.7109375" style="6" customWidth="1"/>
    <col min="14098" max="14319" width="8.85546875" style="6"/>
    <col min="14320" max="14320" width="37.42578125" style="6" customWidth="1"/>
    <col min="14321" max="14323" width="0" style="6" hidden="1" customWidth="1"/>
    <col min="14324" max="14324" width="15.42578125" style="6" bestFit="1" customWidth="1"/>
    <col min="14325" max="14325" width="16.140625" style="6" customWidth="1"/>
    <col min="14326" max="14326" width="14.42578125" style="6" customWidth="1"/>
    <col min="14327" max="14327" width="13" style="6" customWidth="1"/>
    <col min="14328" max="14353" width="12.7109375" style="6" customWidth="1"/>
    <col min="14354" max="14575" width="8.85546875" style="6"/>
    <col min="14576" max="14576" width="37.42578125" style="6" customWidth="1"/>
    <col min="14577" max="14579" width="0" style="6" hidden="1" customWidth="1"/>
    <col min="14580" max="14580" width="15.42578125" style="6" bestFit="1" customWidth="1"/>
    <col min="14581" max="14581" width="16.140625" style="6" customWidth="1"/>
    <col min="14582" max="14582" width="14.42578125" style="6" customWidth="1"/>
    <col min="14583" max="14583" width="13" style="6" customWidth="1"/>
    <col min="14584" max="14609" width="12.7109375" style="6" customWidth="1"/>
    <col min="14610" max="14831" width="8.85546875" style="6"/>
    <col min="14832" max="14832" width="37.42578125" style="6" customWidth="1"/>
    <col min="14833" max="14835" width="0" style="6" hidden="1" customWidth="1"/>
    <col min="14836" max="14836" width="15.42578125" style="6" bestFit="1" customWidth="1"/>
    <col min="14837" max="14837" width="16.140625" style="6" customWidth="1"/>
    <col min="14838" max="14838" width="14.42578125" style="6" customWidth="1"/>
    <col min="14839" max="14839" width="13" style="6" customWidth="1"/>
    <col min="14840" max="14865" width="12.7109375" style="6" customWidth="1"/>
    <col min="14866" max="15087" width="8.85546875" style="6"/>
    <col min="15088" max="15088" width="37.42578125" style="6" customWidth="1"/>
    <col min="15089" max="15091" width="0" style="6" hidden="1" customWidth="1"/>
    <col min="15092" max="15092" width="15.42578125" style="6" bestFit="1" customWidth="1"/>
    <col min="15093" max="15093" width="16.140625" style="6" customWidth="1"/>
    <col min="15094" max="15094" width="14.42578125" style="6" customWidth="1"/>
    <col min="15095" max="15095" width="13" style="6" customWidth="1"/>
    <col min="15096" max="15121" width="12.7109375" style="6" customWidth="1"/>
    <col min="15122" max="15343" width="8.85546875" style="6"/>
    <col min="15344" max="15344" width="37.42578125" style="6" customWidth="1"/>
    <col min="15345" max="15347" width="0" style="6" hidden="1" customWidth="1"/>
    <col min="15348" max="15348" width="15.42578125" style="6" bestFit="1" customWidth="1"/>
    <col min="15349" max="15349" width="16.140625" style="6" customWidth="1"/>
    <col min="15350" max="15350" width="14.42578125" style="6" customWidth="1"/>
    <col min="15351" max="15351" width="13" style="6" customWidth="1"/>
    <col min="15352" max="15377" width="12.7109375" style="6" customWidth="1"/>
    <col min="15378" max="15599" width="8.85546875" style="6"/>
    <col min="15600" max="15600" width="37.42578125" style="6" customWidth="1"/>
    <col min="15601" max="15603" width="0" style="6" hidden="1" customWidth="1"/>
    <col min="15604" max="15604" width="15.42578125" style="6" bestFit="1" customWidth="1"/>
    <col min="15605" max="15605" width="16.140625" style="6" customWidth="1"/>
    <col min="15606" max="15606" width="14.42578125" style="6" customWidth="1"/>
    <col min="15607" max="15607" width="13" style="6" customWidth="1"/>
    <col min="15608" max="15633" width="12.7109375" style="6" customWidth="1"/>
    <col min="15634" max="15855" width="8.85546875" style="6"/>
    <col min="15856" max="15856" width="37.42578125" style="6" customWidth="1"/>
    <col min="15857" max="15859" width="0" style="6" hidden="1" customWidth="1"/>
    <col min="15860" max="15860" width="15.42578125" style="6" bestFit="1" customWidth="1"/>
    <col min="15861" max="15861" width="16.140625" style="6" customWidth="1"/>
    <col min="15862" max="15862" width="14.42578125" style="6" customWidth="1"/>
    <col min="15863" max="15863" width="13" style="6" customWidth="1"/>
    <col min="15864" max="15889" width="12.7109375" style="6" customWidth="1"/>
    <col min="15890" max="16111" width="8.85546875" style="6"/>
    <col min="16112" max="16112" width="37.42578125" style="6" customWidth="1"/>
    <col min="16113" max="16115" width="0" style="6" hidden="1" customWidth="1"/>
    <col min="16116" max="16116" width="15.42578125" style="6" bestFit="1" customWidth="1"/>
    <col min="16117" max="16117" width="16.140625" style="6" customWidth="1"/>
    <col min="16118" max="16118" width="14.42578125" style="6" customWidth="1"/>
    <col min="16119" max="16119" width="13" style="6" customWidth="1"/>
    <col min="16120" max="16145" width="12.7109375" style="6" customWidth="1"/>
    <col min="16146" max="16384" width="8.85546875" style="6"/>
  </cols>
  <sheetData>
    <row r="1" spans="2:35" ht="14.25" customHeight="1" x14ac:dyDescent="0.2"/>
    <row r="2" spans="2:35" ht="14.25" customHeight="1" x14ac:dyDescent="0.2">
      <c r="B2" s="2" t="s">
        <v>13</v>
      </c>
    </row>
    <row r="3" spans="2:35" ht="14.25" customHeight="1" x14ac:dyDescent="0.2">
      <c r="B3" s="76" t="s">
        <v>191</v>
      </c>
    </row>
    <row r="4" spans="2:35" ht="14.25" customHeight="1" x14ac:dyDescent="0.2">
      <c r="B4" s="187" t="s">
        <v>191</v>
      </c>
    </row>
    <row r="5" spans="2:35" ht="14.25" customHeight="1" x14ac:dyDescent="0.2">
      <c r="B5" s="187" t="s">
        <v>192</v>
      </c>
    </row>
    <row r="6" spans="2:35" ht="5.0999999999999996" customHeight="1" x14ac:dyDescent="0.2">
      <c r="B6" s="159"/>
      <c r="D6" s="160"/>
      <c r="E6" s="160"/>
      <c r="F6" s="160"/>
      <c r="G6" s="160"/>
      <c r="H6" s="160"/>
      <c r="I6" s="160"/>
    </row>
    <row r="7" spans="2:35" s="7" customFormat="1" x14ac:dyDescent="0.2">
      <c r="B7" s="159" t="s">
        <v>17</v>
      </c>
      <c r="C7" s="161" t="s">
        <v>25</v>
      </c>
      <c r="D7" s="161">
        <v>2014</v>
      </c>
      <c r="E7" s="161">
        <v>2015</v>
      </c>
      <c r="F7" s="161">
        <v>2016</v>
      </c>
      <c r="G7" s="161">
        <v>2017</v>
      </c>
      <c r="H7" s="161">
        <v>2018</v>
      </c>
      <c r="I7" s="161">
        <v>2019</v>
      </c>
      <c r="J7" s="161">
        <v>2020</v>
      </c>
      <c r="K7" s="161">
        <v>2021</v>
      </c>
      <c r="L7" s="161">
        <v>2022</v>
      </c>
      <c r="M7" s="161">
        <v>2023</v>
      </c>
      <c r="N7" s="161">
        <v>2024</v>
      </c>
      <c r="O7" s="161">
        <v>2025</v>
      </c>
      <c r="P7" s="161">
        <v>2026</v>
      </c>
      <c r="Q7" s="161">
        <v>2027</v>
      </c>
      <c r="R7" s="161">
        <v>2028</v>
      </c>
      <c r="S7" s="161">
        <v>2029</v>
      </c>
      <c r="T7" s="161">
        <v>2030</v>
      </c>
      <c r="U7" s="161">
        <v>2031</v>
      </c>
      <c r="V7" s="161">
        <v>2032</v>
      </c>
      <c r="W7" s="161">
        <v>2033</v>
      </c>
      <c r="X7" s="161">
        <v>2034</v>
      </c>
      <c r="Y7" s="161">
        <v>2035</v>
      </c>
      <c r="Z7" s="161">
        <v>2036</v>
      </c>
      <c r="AA7" s="161">
        <v>2037</v>
      </c>
      <c r="AB7" s="161">
        <v>2038</v>
      </c>
      <c r="AC7" s="161">
        <v>2039</v>
      </c>
      <c r="AD7" s="161">
        <v>2040</v>
      </c>
      <c r="AE7" s="161">
        <v>2041</v>
      </c>
      <c r="AF7" s="161">
        <v>2042</v>
      </c>
      <c r="AG7" s="161">
        <v>2043</v>
      </c>
      <c r="AH7" s="161">
        <v>2044</v>
      </c>
      <c r="AI7" s="161">
        <v>2045</v>
      </c>
    </row>
    <row r="8" spans="2:35" x14ac:dyDescent="0.2">
      <c r="B8" s="162" t="s">
        <v>0</v>
      </c>
      <c r="C8" s="125"/>
      <c r="D8" s="126"/>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row>
    <row r="9" spans="2:35" ht="5.0999999999999996" customHeight="1" x14ac:dyDescent="0.2">
      <c r="B9" s="163"/>
      <c r="C9" s="128"/>
      <c r="D9" s="129"/>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row>
    <row r="10" spans="2:35" x14ac:dyDescent="0.2">
      <c r="B10" s="159" t="s">
        <v>1</v>
      </c>
      <c r="C10" s="131">
        <f>SUM(D10:AI10)</f>
        <v>-24507855.860999998</v>
      </c>
      <c r="D10" s="131">
        <f>'Construction Costs Summary'!$D$7</f>
        <v>-2321061.5630999999</v>
      </c>
      <c r="E10" s="131">
        <f>'Construction Costs Summary'!$D$8</f>
        <v>-11605307.815499999</v>
      </c>
      <c r="F10" s="131">
        <f>'Construction Costs Summary'!$D$9</f>
        <v>-10581486.4824</v>
      </c>
      <c r="G10" s="131">
        <f>'Construction Costs Summary'!$D$10</f>
        <v>0</v>
      </c>
      <c r="H10" s="131">
        <f>'Construction Costs Summary'!$D$11</f>
        <v>0</v>
      </c>
      <c r="I10" s="131">
        <f>'Construction Costs Summary'!$D$12</f>
        <v>0</v>
      </c>
      <c r="J10" s="131">
        <f>'Construction Costs Summary'!$D$13</f>
        <v>0</v>
      </c>
      <c r="K10" s="131">
        <f>'Construction Costs Summary'!$D$14</f>
        <v>0</v>
      </c>
      <c r="L10" s="131">
        <f>'Construction Costs Summary'!$D$15</f>
        <v>0</v>
      </c>
      <c r="M10" s="131">
        <f>'Construction Costs Summary'!$D$16</f>
        <v>0</v>
      </c>
      <c r="N10" s="131">
        <f>'Construction Costs Summary'!$D$17</f>
        <v>0</v>
      </c>
      <c r="O10" s="131">
        <f>'Construction Costs Summary'!$D$18</f>
        <v>0</v>
      </c>
      <c r="P10" s="131">
        <f>'Construction Costs Summary'!$D$19</f>
        <v>0</v>
      </c>
      <c r="Q10" s="131">
        <f>'Construction Costs Summary'!$D$20</f>
        <v>0</v>
      </c>
      <c r="R10" s="131">
        <f>'Construction Costs Summary'!$D$21</f>
        <v>0</v>
      </c>
      <c r="S10" s="131">
        <f>'Construction Costs Summary'!$D$22</f>
        <v>0</v>
      </c>
      <c r="T10" s="131">
        <f>'Construction Costs Summary'!$D$23</f>
        <v>0</v>
      </c>
      <c r="U10" s="131">
        <f>'Construction Costs Summary'!$D$24</f>
        <v>0</v>
      </c>
      <c r="V10" s="131">
        <f>'Construction Costs Summary'!$D$25</f>
        <v>0</v>
      </c>
      <c r="W10" s="131">
        <f>'Construction Costs Summary'!$D$26</f>
        <v>0</v>
      </c>
      <c r="X10" s="131">
        <f>'Construction Costs Summary'!$D$27</f>
        <v>0</v>
      </c>
      <c r="Y10" s="131">
        <f>'Construction Costs Summary'!$D$28</f>
        <v>0</v>
      </c>
      <c r="Z10" s="131">
        <f>'Construction Costs Summary'!$D$29</f>
        <v>0</v>
      </c>
      <c r="AA10" s="131">
        <f>'Construction Costs Summary'!$D$30</f>
        <v>0</v>
      </c>
      <c r="AB10" s="131">
        <f>'Construction Costs Summary'!$D$31</f>
        <v>0</v>
      </c>
      <c r="AC10" s="131">
        <f>'Construction Costs Summary'!$D$32</f>
        <v>0</v>
      </c>
      <c r="AD10" s="131">
        <f>'Construction Costs Summary'!$D$33</f>
        <v>0</v>
      </c>
      <c r="AE10" s="131">
        <f>'Construction Costs Summary'!$D$34</f>
        <v>0</v>
      </c>
      <c r="AF10" s="131">
        <f>'Construction Costs Summary'!$D$35</f>
        <v>0</v>
      </c>
      <c r="AG10" s="131">
        <f>'Construction Costs Summary'!$D$36</f>
        <v>0</v>
      </c>
      <c r="AH10" s="131">
        <f>'Construction Costs Summary'!$D$37</f>
        <v>0</v>
      </c>
      <c r="AI10" s="131">
        <f>'Construction Costs Summary'!$D$38</f>
        <v>0</v>
      </c>
    </row>
    <row r="11" spans="2:35" x14ac:dyDescent="0.2">
      <c r="B11" s="164" t="s">
        <v>24</v>
      </c>
      <c r="C11" s="132">
        <f>SUM(D11:AI11)</f>
        <v>-4400235.2939999998</v>
      </c>
      <c r="D11" s="132">
        <f>'Maintenance Costs Summary'!$D$7</f>
        <v>0</v>
      </c>
      <c r="E11" s="132">
        <f>'Maintenance Costs Summary'!$D$8</f>
        <v>0</v>
      </c>
      <c r="F11" s="132">
        <f>'Maintenance Costs Summary'!$D$9</f>
        <v>0</v>
      </c>
      <c r="G11" s="132">
        <f>'Maintenance Costs Summary'!$D$10</f>
        <v>0</v>
      </c>
      <c r="H11" s="132">
        <f>'Maintenance Costs Summary'!$D$11</f>
        <v>-81153</v>
      </c>
      <c r="I11" s="132">
        <f>'Maintenance Costs Summary'!$D$12</f>
        <v>0</v>
      </c>
      <c r="J11" s="132">
        <f>'Maintenance Costs Summary'!$D$13</f>
        <v>0</v>
      </c>
      <c r="K11" s="132">
        <f>'Maintenance Costs Summary'!$D$14</f>
        <v>-81153</v>
      </c>
      <c r="L11" s="132">
        <f>'Maintenance Costs Summary'!$D$15</f>
        <v>0</v>
      </c>
      <c r="M11" s="132">
        <f>'Maintenance Costs Summary'!$D$16</f>
        <v>0</v>
      </c>
      <c r="N11" s="132">
        <f>'Maintenance Costs Summary'!$D$17</f>
        <v>-81153</v>
      </c>
      <c r="O11" s="132">
        <f>'Maintenance Costs Summary'!$D$18</f>
        <v>0</v>
      </c>
      <c r="P11" s="132">
        <f>'Maintenance Costs Summary'!$D$19</f>
        <v>0</v>
      </c>
      <c r="Q11" s="132">
        <f>'Maintenance Costs Summary'!$D$20</f>
        <v>-81153</v>
      </c>
      <c r="R11" s="132">
        <f>'Maintenance Costs Summary'!$D$21</f>
        <v>0</v>
      </c>
      <c r="S11" s="132">
        <f>'Maintenance Costs Summary'!$D$22</f>
        <v>0</v>
      </c>
      <c r="T11" s="132">
        <f>'Maintenance Costs Summary'!$D$23</f>
        <v>-1875505.6470000001</v>
      </c>
      <c r="U11" s="132">
        <f>'Maintenance Costs Summary'!$D$24</f>
        <v>0</v>
      </c>
      <c r="V11" s="132">
        <f>'Maintenance Costs Summary'!$D$25</f>
        <v>0</v>
      </c>
      <c r="W11" s="132">
        <f>'Maintenance Costs Summary'!$D$26</f>
        <v>-81153</v>
      </c>
      <c r="X11" s="132">
        <f>'Maintenance Costs Summary'!$D$27</f>
        <v>0</v>
      </c>
      <c r="Y11" s="132">
        <f>'Maintenance Costs Summary'!$D$28</f>
        <v>0</v>
      </c>
      <c r="Z11" s="132">
        <f>'Maintenance Costs Summary'!$D$29</f>
        <v>-81153</v>
      </c>
      <c r="AA11" s="132">
        <f>'Maintenance Costs Summary'!$D$30</f>
        <v>0</v>
      </c>
      <c r="AB11" s="132">
        <f>'Maintenance Costs Summary'!$D$31</f>
        <v>0</v>
      </c>
      <c r="AC11" s="132">
        <f>'Maintenance Costs Summary'!$D$32</f>
        <v>-81153</v>
      </c>
      <c r="AD11" s="132">
        <f>'Maintenance Costs Summary'!$D$33</f>
        <v>0</v>
      </c>
      <c r="AE11" s="132">
        <f>'Maintenance Costs Summary'!$D$34</f>
        <v>0</v>
      </c>
      <c r="AF11" s="132">
        <f>'Maintenance Costs Summary'!$D$35</f>
        <v>-81153</v>
      </c>
      <c r="AG11" s="132">
        <f>'Maintenance Costs Summary'!$D$36</f>
        <v>0</v>
      </c>
      <c r="AH11" s="132">
        <f>'Maintenance Costs Summary'!$D$37</f>
        <v>0</v>
      </c>
      <c r="AI11" s="132">
        <f>'Maintenance Costs Summary'!$D$38</f>
        <v>-1875505.6470000001</v>
      </c>
    </row>
    <row r="12" spans="2:35" s="5" customFormat="1" x14ac:dyDescent="0.2">
      <c r="B12" s="165" t="s">
        <v>23</v>
      </c>
      <c r="C12" s="133">
        <f t="shared" ref="C12:AI12" si="0">SUM(C10:C11)</f>
        <v>-28908091.154999997</v>
      </c>
      <c r="D12" s="133">
        <f t="shared" si="0"/>
        <v>-2321061.5630999999</v>
      </c>
      <c r="E12" s="133">
        <f t="shared" si="0"/>
        <v>-11605307.815499999</v>
      </c>
      <c r="F12" s="133">
        <f t="shared" si="0"/>
        <v>-10581486.4824</v>
      </c>
      <c r="G12" s="133">
        <f t="shared" si="0"/>
        <v>0</v>
      </c>
      <c r="H12" s="133">
        <f t="shared" si="0"/>
        <v>-81153</v>
      </c>
      <c r="I12" s="133">
        <f t="shared" si="0"/>
        <v>0</v>
      </c>
      <c r="J12" s="133">
        <f t="shared" si="0"/>
        <v>0</v>
      </c>
      <c r="K12" s="133">
        <f t="shared" si="0"/>
        <v>-81153</v>
      </c>
      <c r="L12" s="133">
        <f t="shared" si="0"/>
        <v>0</v>
      </c>
      <c r="M12" s="133">
        <f t="shared" si="0"/>
        <v>0</v>
      </c>
      <c r="N12" s="133">
        <f t="shared" si="0"/>
        <v>-81153</v>
      </c>
      <c r="O12" s="133">
        <f t="shared" si="0"/>
        <v>0</v>
      </c>
      <c r="P12" s="133">
        <f t="shared" si="0"/>
        <v>0</v>
      </c>
      <c r="Q12" s="133">
        <f t="shared" si="0"/>
        <v>-81153</v>
      </c>
      <c r="R12" s="133">
        <f t="shared" si="0"/>
        <v>0</v>
      </c>
      <c r="S12" s="133">
        <f t="shared" si="0"/>
        <v>0</v>
      </c>
      <c r="T12" s="133">
        <f t="shared" si="0"/>
        <v>-1875505.6470000001</v>
      </c>
      <c r="U12" s="133">
        <f t="shared" si="0"/>
        <v>0</v>
      </c>
      <c r="V12" s="133">
        <f t="shared" si="0"/>
        <v>0</v>
      </c>
      <c r="W12" s="133">
        <f t="shared" si="0"/>
        <v>-81153</v>
      </c>
      <c r="X12" s="133">
        <f t="shared" si="0"/>
        <v>0</v>
      </c>
      <c r="Y12" s="133">
        <f t="shared" si="0"/>
        <v>0</v>
      </c>
      <c r="Z12" s="133">
        <f t="shared" si="0"/>
        <v>-81153</v>
      </c>
      <c r="AA12" s="133">
        <f t="shared" si="0"/>
        <v>0</v>
      </c>
      <c r="AB12" s="133">
        <f t="shared" si="0"/>
        <v>0</v>
      </c>
      <c r="AC12" s="133">
        <f t="shared" si="0"/>
        <v>-81153</v>
      </c>
      <c r="AD12" s="133">
        <f t="shared" si="0"/>
        <v>0</v>
      </c>
      <c r="AE12" s="133">
        <f t="shared" si="0"/>
        <v>0</v>
      </c>
      <c r="AF12" s="133">
        <f t="shared" si="0"/>
        <v>-81153</v>
      </c>
      <c r="AG12" s="133">
        <f t="shared" si="0"/>
        <v>0</v>
      </c>
      <c r="AH12" s="133">
        <f t="shared" si="0"/>
        <v>0</v>
      </c>
      <c r="AI12" s="133">
        <f t="shared" si="0"/>
        <v>-1875505.6470000001</v>
      </c>
    </row>
    <row r="13" spans="2:35" ht="5.0999999999999996" customHeight="1" x14ac:dyDescent="0.2">
      <c r="B13" s="134"/>
      <c r="C13" s="134"/>
      <c r="D13" s="135"/>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row>
    <row r="14" spans="2:35" ht="14.25" customHeight="1" x14ac:dyDescent="0.2">
      <c r="B14" s="166" t="s">
        <v>3</v>
      </c>
      <c r="C14" s="137"/>
      <c r="D14" s="138"/>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row>
    <row r="15" spans="2:35" ht="5.0999999999999996" customHeight="1" x14ac:dyDescent="0.2">
      <c r="B15" s="167"/>
      <c r="C15" s="140"/>
      <c r="D15" s="141"/>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row>
    <row r="16" spans="2:35" x14ac:dyDescent="0.2">
      <c r="B16" s="168" t="s">
        <v>26</v>
      </c>
      <c r="D16" s="141"/>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row>
    <row r="17" spans="2:35" x14ac:dyDescent="0.2">
      <c r="B17" s="169" t="s">
        <v>27</v>
      </c>
      <c r="C17" s="131">
        <f>SUM(D17:AI17)</f>
        <v>34481937.418499999</v>
      </c>
      <c r="D17" s="131">
        <f>'Lifecycle Cost Savings Summary'!$F$7</f>
        <v>0</v>
      </c>
      <c r="E17" s="131">
        <f>'Lifecycle Cost Savings Summary'!$F$8</f>
        <v>3831686.0755000003</v>
      </c>
      <c r="F17" s="131">
        <f>'Lifecycle Cost Savings Summary'!$F$9</f>
        <v>0</v>
      </c>
      <c r="G17" s="131">
        <f>'Lifecycle Cost Savings Summary'!$F$10</f>
        <v>136450</v>
      </c>
      <c r="H17" s="131">
        <f>'Lifecycle Cost Savings Summary'!$F$11</f>
        <v>-81153</v>
      </c>
      <c r="I17" s="131">
        <f>'Lifecycle Cost Savings Summary'!$F$12</f>
        <v>12548.8</v>
      </c>
      <c r="J17" s="131">
        <f>'Lifecycle Cost Savings Summary'!$F$13</f>
        <v>18879473.0625</v>
      </c>
      <c r="K17" s="131">
        <f>'Lifecycle Cost Savings Summary'!$F$14</f>
        <v>-68604.2</v>
      </c>
      <c r="L17" s="131">
        <f>'Lifecycle Cost Savings Summary'!$F$15</f>
        <v>0</v>
      </c>
      <c r="M17" s="131">
        <f>'Lifecycle Cost Savings Summary'!$F$16</f>
        <v>136450</v>
      </c>
      <c r="N17" s="131">
        <f>'Lifecycle Cost Savings Summary'!$F$17</f>
        <v>-81153</v>
      </c>
      <c r="O17" s="131">
        <f>'Lifecycle Cost Savings Summary'!$F$18</f>
        <v>279655.83500000002</v>
      </c>
      <c r="P17" s="131">
        <f>'Lifecycle Cost Savings Summary'!$F$19</f>
        <v>123901.2</v>
      </c>
      <c r="Q17" s="131">
        <f>'Lifecycle Cost Savings Summary'!$F$20</f>
        <v>283408.40000000002</v>
      </c>
      <c r="R17" s="131">
        <f>'Lifecycle Cost Savings Summary'!$F$21</f>
        <v>0</v>
      </c>
      <c r="S17" s="131">
        <f>'Lifecycle Cost Savings Summary'!$F$22</f>
        <v>136450</v>
      </c>
      <c r="T17" s="131">
        <f>'Lifecycle Cost Savings Summary'!$F$23</f>
        <v>-1107550.0720000002</v>
      </c>
      <c r="U17" s="131">
        <f>'Lifecycle Cost Savings Summary'!$F$24</f>
        <v>12548.8</v>
      </c>
      <c r="V17" s="131">
        <f>'Lifecycle Cost Savings Summary'!$F$25</f>
        <v>123901.2</v>
      </c>
      <c r="W17" s="131">
        <f>'Lifecycle Cost Savings Summary'!$F$26</f>
        <v>-68604.2</v>
      </c>
      <c r="X17" s="131">
        <f>'Lifecycle Cost Savings Summary'!$F$27</f>
        <v>0</v>
      </c>
      <c r="Y17" s="131">
        <f>'Lifecycle Cost Savings Summary'!$F$28</f>
        <v>11223637.948999999</v>
      </c>
      <c r="Z17" s="131">
        <f>'Lifecycle Cost Savings Summary'!$F$29</f>
        <v>-81153</v>
      </c>
      <c r="AA17" s="131">
        <f>'Lifecycle Cost Savings Summary'!$F$30</f>
        <v>12548.8</v>
      </c>
      <c r="AB17" s="131">
        <f>'Lifecycle Cost Savings Summary'!$F$31</f>
        <v>123901.2</v>
      </c>
      <c r="AC17" s="131">
        <f>'Lifecycle Cost Savings Summary'!$F$32</f>
        <v>283408.40000000002</v>
      </c>
      <c r="AD17" s="131">
        <f>'Lifecycle Cost Savings Summary'!$F$33</f>
        <v>1700222.9405</v>
      </c>
      <c r="AE17" s="131">
        <f>'Lifecycle Cost Savings Summary'!$F$34</f>
        <v>136450</v>
      </c>
      <c r="AF17" s="131">
        <f>'Lifecycle Cost Savings Summary'!$F$35</f>
        <v>-81153</v>
      </c>
      <c r="AG17" s="131">
        <f>'Lifecycle Cost Savings Summary'!$F$36</f>
        <v>12548.8</v>
      </c>
      <c r="AH17" s="131">
        <f>'Lifecycle Cost Savings Summary'!$F$37</f>
        <v>123901.2</v>
      </c>
      <c r="AI17" s="131">
        <f>'Lifecycle Cost Savings Summary'!$F$38</f>
        <v>-1521784.7720000001</v>
      </c>
    </row>
    <row r="18" spans="2:35" x14ac:dyDescent="0.2">
      <c r="B18" s="170" t="s">
        <v>4</v>
      </c>
      <c r="C18" s="131">
        <f>C17</f>
        <v>34481937.418499999</v>
      </c>
      <c r="D18" s="131">
        <f t="shared" ref="D18:AI18" si="1">D17</f>
        <v>0</v>
      </c>
      <c r="E18" s="131">
        <f t="shared" si="1"/>
        <v>3831686.0755000003</v>
      </c>
      <c r="F18" s="131">
        <f t="shared" si="1"/>
        <v>0</v>
      </c>
      <c r="G18" s="131">
        <f t="shared" si="1"/>
        <v>136450</v>
      </c>
      <c r="H18" s="131">
        <f t="shared" si="1"/>
        <v>-81153</v>
      </c>
      <c r="I18" s="131">
        <f t="shared" si="1"/>
        <v>12548.8</v>
      </c>
      <c r="J18" s="131">
        <f t="shared" si="1"/>
        <v>18879473.0625</v>
      </c>
      <c r="K18" s="131">
        <f t="shared" si="1"/>
        <v>-68604.2</v>
      </c>
      <c r="L18" s="131">
        <f t="shared" si="1"/>
        <v>0</v>
      </c>
      <c r="M18" s="131">
        <f t="shared" si="1"/>
        <v>136450</v>
      </c>
      <c r="N18" s="131">
        <f t="shared" si="1"/>
        <v>-81153</v>
      </c>
      <c r="O18" s="131">
        <f t="shared" si="1"/>
        <v>279655.83500000002</v>
      </c>
      <c r="P18" s="131">
        <f t="shared" si="1"/>
        <v>123901.2</v>
      </c>
      <c r="Q18" s="131">
        <f t="shared" si="1"/>
        <v>283408.40000000002</v>
      </c>
      <c r="R18" s="131">
        <f t="shared" si="1"/>
        <v>0</v>
      </c>
      <c r="S18" s="131">
        <f t="shared" si="1"/>
        <v>136450</v>
      </c>
      <c r="T18" s="131">
        <f t="shared" si="1"/>
        <v>-1107550.0720000002</v>
      </c>
      <c r="U18" s="131">
        <f t="shared" si="1"/>
        <v>12548.8</v>
      </c>
      <c r="V18" s="131">
        <f t="shared" si="1"/>
        <v>123901.2</v>
      </c>
      <c r="W18" s="131">
        <f t="shared" si="1"/>
        <v>-68604.2</v>
      </c>
      <c r="X18" s="131">
        <f t="shared" si="1"/>
        <v>0</v>
      </c>
      <c r="Y18" s="131">
        <f t="shared" si="1"/>
        <v>11223637.948999999</v>
      </c>
      <c r="Z18" s="131">
        <f t="shared" si="1"/>
        <v>-81153</v>
      </c>
      <c r="AA18" s="131">
        <f t="shared" si="1"/>
        <v>12548.8</v>
      </c>
      <c r="AB18" s="131">
        <f t="shared" si="1"/>
        <v>123901.2</v>
      </c>
      <c r="AC18" s="131">
        <f t="shared" si="1"/>
        <v>283408.40000000002</v>
      </c>
      <c r="AD18" s="131">
        <f t="shared" si="1"/>
        <v>1700222.9405</v>
      </c>
      <c r="AE18" s="131">
        <f t="shared" si="1"/>
        <v>136450</v>
      </c>
      <c r="AF18" s="131">
        <f t="shared" si="1"/>
        <v>-81153</v>
      </c>
      <c r="AG18" s="131">
        <f t="shared" si="1"/>
        <v>12548.8</v>
      </c>
      <c r="AH18" s="131">
        <f t="shared" si="1"/>
        <v>123901.2</v>
      </c>
      <c r="AI18" s="131">
        <f t="shared" si="1"/>
        <v>-1521784.7720000001</v>
      </c>
    </row>
    <row r="19" spans="2:35" ht="5.0999999999999996" customHeight="1" x14ac:dyDescent="0.2">
      <c r="B19" s="171"/>
      <c r="C19" s="144"/>
      <c r="D19" s="141"/>
      <c r="E19" s="142"/>
      <c r="F19" s="142"/>
      <c r="G19" s="142"/>
      <c r="H19" s="142"/>
      <c r="I19" s="142"/>
      <c r="J19" s="142"/>
      <c r="K19" s="142"/>
      <c r="L19" s="142"/>
      <c r="M19" s="145"/>
      <c r="N19" s="142"/>
      <c r="O19" s="142"/>
      <c r="P19" s="142"/>
      <c r="Q19" s="142"/>
      <c r="R19" s="142"/>
      <c r="S19" s="146"/>
      <c r="T19" s="142"/>
      <c r="U19" s="142"/>
      <c r="V19" s="142"/>
      <c r="W19" s="142"/>
      <c r="X19" s="142"/>
      <c r="Y19" s="142"/>
      <c r="Z19" s="142"/>
      <c r="AA19" s="142"/>
      <c r="AB19" s="142"/>
      <c r="AC19" s="142"/>
      <c r="AD19" s="142"/>
      <c r="AE19" s="142"/>
      <c r="AF19" s="142"/>
      <c r="AG19" s="142"/>
      <c r="AH19" s="142"/>
      <c r="AI19" s="142"/>
    </row>
    <row r="20" spans="2:35" x14ac:dyDescent="0.2">
      <c r="B20" s="168" t="s">
        <v>28</v>
      </c>
      <c r="C20" s="144"/>
      <c r="D20" s="141"/>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row>
    <row r="21" spans="2:35" x14ac:dyDescent="0.2">
      <c r="B21" s="172" t="s">
        <v>137</v>
      </c>
      <c r="C21" s="131">
        <f>SUM(D21:AI21)</f>
        <v>8037000</v>
      </c>
      <c r="D21" s="141">
        <f>'Land Value - New Summary'!$D$7</f>
        <v>0</v>
      </c>
      <c r="E21" s="141">
        <f>'Land Value - New Summary'!$D$8</f>
        <v>0</v>
      </c>
      <c r="F21" s="141">
        <f>'Land Value - New Summary'!$D$9</f>
        <v>0</v>
      </c>
      <c r="G21" s="141">
        <f>'Land Value - New Summary'!$D$10</f>
        <v>8037000</v>
      </c>
      <c r="H21" s="141">
        <f>'Land Value - New Summary'!$D$11</f>
        <v>0</v>
      </c>
      <c r="I21" s="141">
        <f>'Land Value - New Summary'!$D$12</f>
        <v>0</v>
      </c>
      <c r="J21" s="141">
        <f>'Land Value - New Summary'!$D$13</f>
        <v>0</v>
      </c>
      <c r="K21" s="141">
        <f>'Land Value - New Summary'!$D$14</f>
        <v>0</v>
      </c>
      <c r="L21" s="141">
        <f>'Land Value - New Summary'!$D$15</f>
        <v>0</v>
      </c>
      <c r="M21" s="141">
        <f>'Land Value - New Summary'!$D$16</f>
        <v>0</v>
      </c>
      <c r="N21" s="141">
        <f>'Land Value - New Summary'!$D$17</f>
        <v>0</v>
      </c>
      <c r="O21" s="141">
        <f>'Land Value - New Summary'!$D$18</f>
        <v>0</v>
      </c>
      <c r="P21" s="141">
        <f>'Land Value - New Summary'!$D$19</f>
        <v>0</v>
      </c>
      <c r="Q21" s="141">
        <f>'Land Value - New Summary'!$D$20</f>
        <v>0</v>
      </c>
      <c r="R21" s="141">
        <f>'Land Value - New Summary'!$D$21</f>
        <v>0</v>
      </c>
      <c r="S21" s="141">
        <f>'Land Value - New Summary'!$D$22</f>
        <v>0</v>
      </c>
      <c r="T21" s="141">
        <f>'Land Value - New Summary'!$D$23</f>
        <v>0</v>
      </c>
      <c r="U21" s="141">
        <f>'Land Value - New Summary'!$D$24</f>
        <v>0</v>
      </c>
      <c r="V21" s="141">
        <f>'Land Value - New Summary'!$D$25</f>
        <v>0</v>
      </c>
      <c r="W21" s="141">
        <f>'Land Value - New Summary'!$D$26</f>
        <v>0</v>
      </c>
      <c r="X21" s="141">
        <f>'Land Value - New Summary'!$D$27</f>
        <v>0</v>
      </c>
      <c r="Y21" s="141">
        <f>'Land Value - New Summary'!$D$28</f>
        <v>0</v>
      </c>
      <c r="Z21" s="141">
        <f>'Land Value - New Summary'!$D$29</f>
        <v>0</v>
      </c>
      <c r="AA21" s="141">
        <f>'Land Value - New Summary'!$D$30</f>
        <v>0</v>
      </c>
      <c r="AB21" s="141">
        <f>'Land Value - New Summary'!$D$31</f>
        <v>0</v>
      </c>
      <c r="AC21" s="141">
        <f>'Land Value - New Summary'!$D$32</f>
        <v>0</v>
      </c>
      <c r="AD21" s="141">
        <f>'Land Value - New Summary'!$D$33</f>
        <v>0</v>
      </c>
      <c r="AE21" s="141">
        <f>'Land Value - New Summary'!$D$34</f>
        <v>0</v>
      </c>
      <c r="AF21" s="141">
        <f>'Land Value - New Summary'!$D$35</f>
        <v>0</v>
      </c>
      <c r="AG21" s="141">
        <f>'Land Value - New Summary'!$D$36</f>
        <v>0</v>
      </c>
      <c r="AH21" s="141">
        <f>'Land Value - New Summary'!$D$37</f>
        <v>0</v>
      </c>
      <c r="AI21" s="141">
        <f>'Land Value - New Summary'!$D$38</f>
        <v>0</v>
      </c>
    </row>
    <row r="22" spans="2:35" x14ac:dyDescent="0.2">
      <c r="B22" s="173" t="s">
        <v>139</v>
      </c>
      <c r="C22" s="131">
        <f>SUM(D22:AI22)</f>
        <v>16741870.25</v>
      </c>
      <c r="D22" s="141">
        <f>'Land Value - Existing Summary'!$D$7</f>
        <v>0</v>
      </c>
      <c r="E22" s="141">
        <f>'Land Value - Existing Summary'!$D$8</f>
        <v>0</v>
      </c>
      <c r="F22" s="141">
        <f>'Land Value - Existing Summary'!$D$9</f>
        <v>0</v>
      </c>
      <c r="G22" s="141">
        <f>'Land Value - Existing Summary'!$D$10</f>
        <v>16741870.25</v>
      </c>
      <c r="H22" s="141">
        <f>'Land Value - Existing Summary'!$D$11</f>
        <v>0</v>
      </c>
      <c r="I22" s="141">
        <f>'Land Value - Existing Summary'!$D$12</f>
        <v>0</v>
      </c>
      <c r="J22" s="141">
        <f>'Land Value - Existing Summary'!$D$13</f>
        <v>0</v>
      </c>
      <c r="K22" s="141">
        <f>'Land Value - Existing Summary'!$D$14</f>
        <v>0</v>
      </c>
      <c r="L22" s="141">
        <f>'Land Value - Existing Summary'!$D$15</f>
        <v>0</v>
      </c>
      <c r="M22" s="141">
        <f>'Land Value - Existing Summary'!$D$16</f>
        <v>0</v>
      </c>
      <c r="N22" s="141">
        <f>'Land Value - Existing Summary'!$D$17</f>
        <v>0</v>
      </c>
      <c r="O22" s="141">
        <f>'Land Value - Existing Summary'!$D$18</f>
        <v>0</v>
      </c>
      <c r="P22" s="141">
        <f>'Land Value - Existing Summary'!$D$19</f>
        <v>0</v>
      </c>
      <c r="Q22" s="141">
        <f>'Land Value - Existing Summary'!$D$20</f>
        <v>0</v>
      </c>
      <c r="R22" s="141">
        <f>'Land Value - Existing Summary'!$D$21</f>
        <v>0</v>
      </c>
      <c r="S22" s="141">
        <f>'Land Value - Existing Summary'!$D$22</f>
        <v>0</v>
      </c>
      <c r="T22" s="141">
        <f>'Land Value - Existing Summary'!$D$23</f>
        <v>0</v>
      </c>
      <c r="U22" s="141">
        <f>'Land Value - Existing Summary'!$D$24</f>
        <v>0</v>
      </c>
      <c r="V22" s="141">
        <f>'Land Value - Existing Summary'!$D$25</f>
        <v>0</v>
      </c>
      <c r="W22" s="141">
        <f>'Land Value - Existing Summary'!$D$26</f>
        <v>0</v>
      </c>
      <c r="X22" s="141">
        <f>'Land Value - Existing Summary'!$D$27</f>
        <v>0</v>
      </c>
      <c r="Y22" s="141">
        <f>'Land Value - Existing Summary'!$D$28</f>
        <v>0</v>
      </c>
      <c r="Z22" s="141">
        <f>'Land Value - Existing Summary'!$D$29</f>
        <v>0</v>
      </c>
      <c r="AA22" s="141">
        <f>'Land Value - Existing Summary'!$D$30</f>
        <v>0</v>
      </c>
      <c r="AB22" s="141">
        <f>'Land Value - Existing Summary'!$D$31</f>
        <v>0</v>
      </c>
      <c r="AC22" s="141">
        <f>'Land Value - Existing Summary'!$D$32</f>
        <v>0</v>
      </c>
      <c r="AD22" s="141">
        <f>'Land Value - Existing Summary'!$D$33</f>
        <v>0</v>
      </c>
      <c r="AE22" s="141">
        <f>'Land Value - Existing Summary'!$D$34</f>
        <v>0</v>
      </c>
      <c r="AF22" s="141">
        <f>'Land Value - Existing Summary'!$D$35</f>
        <v>0</v>
      </c>
      <c r="AG22" s="141">
        <f>'Land Value - Existing Summary'!$D$36</f>
        <v>0</v>
      </c>
      <c r="AH22" s="141">
        <f>'Land Value - Existing Summary'!$D$37</f>
        <v>0</v>
      </c>
      <c r="AI22" s="141">
        <f>'Land Value - Existing Summary'!$D$38</f>
        <v>0</v>
      </c>
    </row>
    <row r="23" spans="2:35" ht="14.25" customHeight="1" x14ac:dyDescent="0.2">
      <c r="B23" s="172" t="s">
        <v>4</v>
      </c>
      <c r="C23" s="131">
        <f>SUM(C21:C22)</f>
        <v>24778870.25</v>
      </c>
      <c r="D23" s="141">
        <f t="shared" ref="D23:AI23" si="2">SUM(D21:D22)</f>
        <v>0</v>
      </c>
      <c r="E23" s="141">
        <f t="shared" si="2"/>
        <v>0</v>
      </c>
      <c r="F23" s="141">
        <f t="shared" si="2"/>
        <v>0</v>
      </c>
      <c r="G23" s="141">
        <f t="shared" si="2"/>
        <v>24778870.25</v>
      </c>
      <c r="H23" s="141">
        <f t="shared" si="2"/>
        <v>0</v>
      </c>
      <c r="I23" s="141">
        <f t="shared" si="2"/>
        <v>0</v>
      </c>
      <c r="J23" s="147">
        <f t="shared" si="2"/>
        <v>0</v>
      </c>
      <c r="K23" s="147">
        <f t="shared" si="2"/>
        <v>0</v>
      </c>
      <c r="L23" s="147">
        <f t="shared" si="2"/>
        <v>0</v>
      </c>
      <c r="M23" s="147">
        <f t="shared" si="2"/>
        <v>0</v>
      </c>
      <c r="N23" s="147">
        <f t="shared" si="2"/>
        <v>0</v>
      </c>
      <c r="O23" s="147">
        <f t="shared" si="2"/>
        <v>0</v>
      </c>
      <c r="P23" s="147">
        <f t="shared" si="2"/>
        <v>0</v>
      </c>
      <c r="Q23" s="147">
        <f t="shared" si="2"/>
        <v>0</v>
      </c>
      <c r="R23" s="147">
        <f t="shared" si="2"/>
        <v>0</v>
      </c>
      <c r="S23" s="147">
        <f t="shared" si="2"/>
        <v>0</v>
      </c>
      <c r="T23" s="147">
        <f t="shared" si="2"/>
        <v>0</v>
      </c>
      <c r="U23" s="147">
        <f t="shared" si="2"/>
        <v>0</v>
      </c>
      <c r="V23" s="147">
        <f t="shared" si="2"/>
        <v>0</v>
      </c>
      <c r="W23" s="147">
        <f t="shared" si="2"/>
        <v>0</v>
      </c>
      <c r="X23" s="147">
        <f t="shared" si="2"/>
        <v>0</v>
      </c>
      <c r="Y23" s="147">
        <f t="shared" si="2"/>
        <v>0</v>
      </c>
      <c r="Z23" s="147">
        <f t="shared" si="2"/>
        <v>0</v>
      </c>
      <c r="AA23" s="147">
        <f t="shared" si="2"/>
        <v>0</v>
      </c>
      <c r="AB23" s="147">
        <f t="shared" si="2"/>
        <v>0</v>
      </c>
      <c r="AC23" s="147">
        <f t="shared" si="2"/>
        <v>0</v>
      </c>
      <c r="AD23" s="147">
        <f t="shared" si="2"/>
        <v>0</v>
      </c>
      <c r="AE23" s="147">
        <f t="shared" si="2"/>
        <v>0</v>
      </c>
      <c r="AF23" s="147">
        <f t="shared" si="2"/>
        <v>0</v>
      </c>
      <c r="AG23" s="147">
        <f t="shared" si="2"/>
        <v>0</v>
      </c>
      <c r="AH23" s="147">
        <f t="shared" si="2"/>
        <v>0</v>
      </c>
      <c r="AI23" s="147">
        <f t="shared" si="2"/>
        <v>0</v>
      </c>
    </row>
    <row r="24" spans="2:35" ht="5.0999999999999996" customHeight="1" x14ac:dyDescent="0.2">
      <c r="B24" s="174"/>
      <c r="C24" s="148"/>
      <c r="D24" s="141"/>
      <c r="E24" s="142"/>
      <c r="F24" s="142"/>
      <c r="G24" s="142"/>
      <c r="H24" s="142"/>
      <c r="I24" s="142"/>
      <c r="J24" s="147"/>
      <c r="K24" s="147"/>
      <c r="L24" s="147"/>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row>
    <row r="25" spans="2:35" x14ac:dyDescent="0.2">
      <c r="B25" s="168" t="s">
        <v>31</v>
      </c>
      <c r="C25" s="13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row>
    <row r="26" spans="2:35" x14ac:dyDescent="0.2">
      <c r="B26" s="173" t="s">
        <v>138</v>
      </c>
      <c r="C26" s="131">
        <f>SUM(D26:AI26)</f>
        <v>13467309.775997892</v>
      </c>
      <c r="D26" s="141">
        <f>'Safety Summary'!$D$8</f>
        <v>0</v>
      </c>
      <c r="E26" s="141">
        <f>'Safety Summary'!$D$9</f>
        <v>0</v>
      </c>
      <c r="F26" s="141">
        <f>'Safety Summary'!$D$10</f>
        <v>0</v>
      </c>
      <c r="G26" s="141">
        <f>'Safety Summary'!$D$11</f>
        <v>464389.99227578938</v>
      </c>
      <c r="H26" s="141">
        <f>'Safety Summary'!$D$12</f>
        <v>464389.99227578938</v>
      </c>
      <c r="I26" s="141">
        <f>'Safety Summary'!$D$13</f>
        <v>464389.99227578938</v>
      </c>
      <c r="J26" s="141">
        <f>'Safety Summary'!$D$14</f>
        <v>464389.99227578938</v>
      </c>
      <c r="K26" s="141">
        <f>'Safety Summary'!$D$15</f>
        <v>464389.99227578938</v>
      </c>
      <c r="L26" s="141">
        <f>'Safety Summary'!$D$16</f>
        <v>464389.99227578938</v>
      </c>
      <c r="M26" s="141">
        <f>'Safety Summary'!$D$17</f>
        <v>464389.99227578938</v>
      </c>
      <c r="N26" s="141">
        <f>'Safety Summary'!$D$18</f>
        <v>464389.99227578938</v>
      </c>
      <c r="O26" s="141">
        <f>'Safety Summary'!$D$19</f>
        <v>464389.99227578938</v>
      </c>
      <c r="P26" s="141">
        <f>'Safety Summary'!$D$20</f>
        <v>464389.99227578938</v>
      </c>
      <c r="Q26" s="141">
        <f>'Safety Summary'!$D$21</f>
        <v>464389.99227578938</v>
      </c>
      <c r="R26" s="141">
        <f>'Safety Summary'!$D$22</f>
        <v>464389.99227578938</v>
      </c>
      <c r="S26" s="141">
        <f>'Safety Summary'!$D$23</f>
        <v>464389.99227578938</v>
      </c>
      <c r="T26" s="141">
        <f>'Safety Summary'!$D$24</f>
        <v>464389.99227578938</v>
      </c>
      <c r="U26" s="141">
        <f>'Safety Summary'!$D$25</f>
        <v>464389.99227578938</v>
      </c>
      <c r="V26" s="141">
        <f>'Safety Summary'!$D$26</f>
        <v>464389.99227578938</v>
      </c>
      <c r="W26" s="141">
        <f>'Safety Summary'!$D$27</f>
        <v>464389.99227578938</v>
      </c>
      <c r="X26" s="141">
        <f>'Safety Summary'!$D$28</f>
        <v>464389.99227578938</v>
      </c>
      <c r="Y26" s="141">
        <f>'Safety Summary'!$D$29</f>
        <v>464389.99227578938</v>
      </c>
      <c r="Z26" s="141">
        <f>'Safety Summary'!$D$30</f>
        <v>464389.99227578938</v>
      </c>
      <c r="AA26" s="141">
        <f>'Safety Summary'!$D$31</f>
        <v>464389.99227578938</v>
      </c>
      <c r="AB26" s="141">
        <f>'Safety Summary'!$D$32</f>
        <v>464389.99227578938</v>
      </c>
      <c r="AC26" s="141">
        <f>'Safety Summary'!$D$33</f>
        <v>464389.99227578938</v>
      </c>
      <c r="AD26" s="141">
        <f>'Safety Summary'!$D$34</f>
        <v>464389.99227578938</v>
      </c>
      <c r="AE26" s="141">
        <f>'Safety Summary'!$D$35</f>
        <v>464389.99227578938</v>
      </c>
      <c r="AF26" s="141">
        <f>'Safety Summary'!$D$36</f>
        <v>464389.99227578938</v>
      </c>
      <c r="AG26" s="141">
        <f>'Safety Summary'!$D$37</f>
        <v>464389.99227578938</v>
      </c>
      <c r="AH26" s="141">
        <f>'Safety Summary'!$D$38</f>
        <v>464389.99227578938</v>
      </c>
      <c r="AI26" s="141">
        <f>'Safety Summary'!$D$39</f>
        <v>464389.99227578938</v>
      </c>
    </row>
    <row r="27" spans="2:35" x14ac:dyDescent="0.2">
      <c r="B27" s="172" t="s">
        <v>4</v>
      </c>
      <c r="C27" s="131">
        <f>C26</f>
        <v>13467309.775997892</v>
      </c>
      <c r="D27" s="141">
        <f t="shared" ref="D27:AI27" si="3">D26</f>
        <v>0</v>
      </c>
      <c r="E27" s="141">
        <f t="shared" si="3"/>
        <v>0</v>
      </c>
      <c r="F27" s="141">
        <f t="shared" si="3"/>
        <v>0</v>
      </c>
      <c r="G27" s="141">
        <f t="shared" si="3"/>
        <v>464389.99227578938</v>
      </c>
      <c r="H27" s="141">
        <f t="shared" si="3"/>
        <v>464389.99227578938</v>
      </c>
      <c r="I27" s="141">
        <f t="shared" si="3"/>
        <v>464389.99227578938</v>
      </c>
      <c r="J27" s="141">
        <f t="shared" si="3"/>
        <v>464389.99227578938</v>
      </c>
      <c r="K27" s="141">
        <f t="shared" si="3"/>
        <v>464389.99227578938</v>
      </c>
      <c r="L27" s="141">
        <f t="shared" si="3"/>
        <v>464389.99227578938</v>
      </c>
      <c r="M27" s="141">
        <f t="shared" si="3"/>
        <v>464389.99227578938</v>
      </c>
      <c r="N27" s="141">
        <f t="shared" si="3"/>
        <v>464389.99227578938</v>
      </c>
      <c r="O27" s="141">
        <f t="shared" si="3"/>
        <v>464389.99227578938</v>
      </c>
      <c r="P27" s="141">
        <f t="shared" si="3"/>
        <v>464389.99227578938</v>
      </c>
      <c r="Q27" s="141">
        <f t="shared" si="3"/>
        <v>464389.99227578938</v>
      </c>
      <c r="R27" s="141">
        <f t="shared" si="3"/>
        <v>464389.99227578938</v>
      </c>
      <c r="S27" s="141">
        <f t="shared" si="3"/>
        <v>464389.99227578938</v>
      </c>
      <c r="T27" s="141">
        <f t="shared" si="3"/>
        <v>464389.99227578938</v>
      </c>
      <c r="U27" s="141">
        <f t="shared" si="3"/>
        <v>464389.99227578938</v>
      </c>
      <c r="V27" s="141">
        <f t="shared" si="3"/>
        <v>464389.99227578938</v>
      </c>
      <c r="W27" s="141">
        <f t="shared" si="3"/>
        <v>464389.99227578938</v>
      </c>
      <c r="X27" s="141">
        <f t="shared" si="3"/>
        <v>464389.99227578938</v>
      </c>
      <c r="Y27" s="141">
        <f t="shared" si="3"/>
        <v>464389.99227578938</v>
      </c>
      <c r="Z27" s="141">
        <f t="shared" si="3"/>
        <v>464389.99227578938</v>
      </c>
      <c r="AA27" s="141">
        <f t="shared" si="3"/>
        <v>464389.99227578938</v>
      </c>
      <c r="AB27" s="141">
        <f t="shared" si="3"/>
        <v>464389.99227578938</v>
      </c>
      <c r="AC27" s="141">
        <f t="shared" si="3"/>
        <v>464389.99227578938</v>
      </c>
      <c r="AD27" s="141">
        <f t="shared" si="3"/>
        <v>464389.99227578938</v>
      </c>
      <c r="AE27" s="141">
        <f t="shared" si="3"/>
        <v>464389.99227578938</v>
      </c>
      <c r="AF27" s="141">
        <f t="shared" si="3"/>
        <v>464389.99227578938</v>
      </c>
      <c r="AG27" s="141">
        <f t="shared" si="3"/>
        <v>464389.99227578938</v>
      </c>
      <c r="AH27" s="141">
        <f t="shared" si="3"/>
        <v>464389.99227578938</v>
      </c>
      <c r="AI27" s="141">
        <f t="shared" si="3"/>
        <v>464389.99227578938</v>
      </c>
    </row>
    <row r="28" spans="2:35" ht="5.0999999999999996" customHeight="1" x14ac:dyDescent="0.2">
      <c r="B28" s="175"/>
      <c r="C28" s="144"/>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row>
    <row r="29" spans="2:35" s="5" customFormat="1" x14ac:dyDescent="0.2">
      <c r="B29" s="176" t="s">
        <v>33</v>
      </c>
      <c r="C29" s="149">
        <f>C18+C23+C27</f>
        <v>72728117.444497883</v>
      </c>
      <c r="D29" s="149">
        <f t="shared" ref="D29:AI29" si="4">D18+D23+D27</f>
        <v>0</v>
      </c>
      <c r="E29" s="149">
        <f t="shared" si="4"/>
        <v>3831686.0755000003</v>
      </c>
      <c r="F29" s="149">
        <f t="shared" si="4"/>
        <v>0</v>
      </c>
      <c r="G29" s="149">
        <f t="shared" si="4"/>
        <v>25379710.242275789</v>
      </c>
      <c r="H29" s="149">
        <f t="shared" si="4"/>
        <v>383236.99227578938</v>
      </c>
      <c r="I29" s="149">
        <f t="shared" si="4"/>
        <v>476938.79227578937</v>
      </c>
      <c r="J29" s="149">
        <f t="shared" si="4"/>
        <v>19343863.054775789</v>
      </c>
      <c r="K29" s="149">
        <f t="shared" si="4"/>
        <v>395785.79227578937</v>
      </c>
      <c r="L29" s="149">
        <f t="shared" si="4"/>
        <v>464389.99227578938</v>
      </c>
      <c r="M29" s="149">
        <f t="shared" si="4"/>
        <v>600839.99227578938</v>
      </c>
      <c r="N29" s="149">
        <f t="shared" si="4"/>
        <v>383236.99227578938</v>
      </c>
      <c r="O29" s="149">
        <f t="shared" si="4"/>
        <v>744045.82727578934</v>
      </c>
      <c r="P29" s="149">
        <f t="shared" si="4"/>
        <v>588291.19227578933</v>
      </c>
      <c r="Q29" s="149">
        <f t="shared" si="4"/>
        <v>747798.3922757894</v>
      </c>
      <c r="R29" s="149">
        <f t="shared" si="4"/>
        <v>464389.99227578938</v>
      </c>
      <c r="S29" s="149">
        <f t="shared" si="4"/>
        <v>600839.99227578938</v>
      </c>
      <c r="T29" s="149">
        <f t="shared" si="4"/>
        <v>-643160.07972421078</v>
      </c>
      <c r="U29" s="149">
        <f t="shared" si="4"/>
        <v>476938.79227578937</v>
      </c>
      <c r="V29" s="149">
        <f t="shared" si="4"/>
        <v>588291.19227578933</v>
      </c>
      <c r="W29" s="149">
        <f t="shared" si="4"/>
        <v>395785.79227578937</v>
      </c>
      <c r="X29" s="149">
        <f t="shared" si="4"/>
        <v>464389.99227578938</v>
      </c>
      <c r="Y29" s="149">
        <f t="shared" si="4"/>
        <v>11688027.941275788</v>
      </c>
      <c r="Z29" s="149">
        <f t="shared" si="4"/>
        <v>383236.99227578938</v>
      </c>
      <c r="AA29" s="149">
        <f t="shared" si="4"/>
        <v>476938.79227578937</v>
      </c>
      <c r="AB29" s="149">
        <f t="shared" si="4"/>
        <v>588291.19227578933</v>
      </c>
      <c r="AC29" s="149">
        <f t="shared" si="4"/>
        <v>747798.3922757894</v>
      </c>
      <c r="AD29" s="149">
        <f t="shared" si="4"/>
        <v>2164612.9327757894</v>
      </c>
      <c r="AE29" s="149">
        <f t="shared" si="4"/>
        <v>600839.99227578938</v>
      </c>
      <c r="AF29" s="149">
        <f t="shared" si="4"/>
        <v>383236.99227578938</v>
      </c>
      <c r="AG29" s="149">
        <f t="shared" si="4"/>
        <v>476938.79227578937</v>
      </c>
      <c r="AH29" s="149">
        <f t="shared" si="4"/>
        <v>588291.19227578933</v>
      </c>
      <c r="AI29" s="149">
        <f t="shared" si="4"/>
        <v>-1057394.7797242107</v>
      </c>
    </row>
    <row r="30" spans="2:35" s="5" customFormat="1" ht="5.0999999999999996" customHeight="1" x14ac:dyDescent="0.2">
      <c r="B30" s="177"/>
      <c r="C30" s="144"/>
      <c r="D30" s="141"/>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row>
    <row r="31" spans="2:35" s="5" customFormat="1" ht="14.25" customHeight="1" x14ac:dyDescent="0.2">
      <c r="B31" s="166" t="s">
        <v>35</v>
      </c>
      <c r="C31" s="150"/>
      <c r="D31" s="151"/>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row>
    <row r="32" spans="2:35" s="5" customFormat="1" ht="5.0999999999999996" customHeight="1" x14ac:dyDescent="0.2">
      <c r="B32" s="163"/>
      <c r="C32" s="144"/>
      <c r="D32" s="141"/>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row>
    <row r="33" spans="2:35" s="5" customFormat="1" x14ac:dyDescent="0.2">
      <c r="B33" s="165" t="s">
        <v>34</v>
      </c>
      <c r="C33" s="133">
        <f>C29+C12</f>
        <v>43820026.289497882</v>
      </c>
      <c r="D33" s="133">
        <f t="shared" ref="D33:AI33" si="5">D29+D12</f>
        <v>-2321061.5630999999</v>
      </c>
      <c r="E33" s="133">
        <f t="shared" si="5"/>
        <v>-7773621.7399999984</v>
      </c>
      <c r="F33" s="133">
        <f t="shared" si="5"/>
        <v>-10581486.4824</v>
      </c>
      <c r="G33" s="133">
        <f t="shared" si="5"/>
        <v>25379710.242275789</v>
      </c>
      <c r="H33" s="133">
        <f t="shared" si="5"/>
        <v>302083.99227578938</v>
      </c>
      <c r="I33" s="133">
        <f t="shared" si="5"/>
        <v>476938.79227578937</v>
      </c>
      <c r="J33" s="133">
        <f t="shared" si="5"/>
        <v>19343863.054775789</v>
      </c>
      <c r="K33" s="133">
        <f t="shared" si="5"/>
        <v>314632.79227578937</v>
      </c>
      <c r="L33" s="133">
        <f t="shared" si="5"/>
        <v>464389.99227578938</v>
      </c>
      <c r="M33" s="133">
        <f t="shared" si="5"/>
        <v>600839.99227578938</v>
      </c>
      <c r="N33" s="133">
        <f t="shared" si="5"/>
        <v>302083.99227578938</v>
      </c>
      <c r="O33" s="133">
        <f t="shared" si="5"/>
        <v>744045.82727578934</v>
      </c>
      <c r="P33" s="133">
        <f t="shared" si="5"/>
        <v>588291.19227578933</v>
      </c>
      <c r="Q33" s="133">
        <f t="shared" si="5"/>
        <v>666645.3922757894</v>
      </c>
      <c r="R33" s="133">
        <f t="shared" si="5"/>
        <v>464389.99227578938</v>
      </c>
      <c r="S33" s="133">
        <f t="shared" si="5"/>
        <v>600839.99227578938</v>
      </c>
      <c r="T33" s="133">
        <f t="shared" si="5"/>
        <v>-2518665.7267242111</v>
      </c>
      <c r="U33" s="133">
        <f t="shared" si="5"/>
        <v>476938.79227578937</v>
      </c>
      <c r="V33" s="133">
        <f t="shared" si="5"/>
        <v>588291.19227578933</v>
      </c>
      <c r="W33" s="133">
        <f t="shared" si="5"/>
        <v>314632.79227578937</v>
      </c>
      <c r="X33" s="133">
        <f t="shared" si="5"/>
        <v>464389.99227578938</v>
      </c>
      <c r="Y33" s="133">
        <f t="shared" si="5"/>
        <v>11688027.941275788</v>
      </c>
      <c r="Z33" s="133">
        <f t="shared" si="5"/>
        <v>302083.99227578938</v>
      </c>
      <c r="AA33" s="133">
        <f t="shared" si="5"/>
        <v>476938.79227578937</v>
      </c>
      <c r="AB33" s="133">
        <f t="shared" si="5"/>
        <v>588291.19227578933</v>
      </c>
      <c r="AC33" s="133">
        <f t="shared" si="5"/>
        <v>666645.3922757894</v>
      </c>
      <c r="AD33" s="133">
        <f t="shared" si="5"/>
        <v>2164612.9327757894</v>
      </c>
      <c r="AE33" s="133">
        <f t="shared" si="5"/>
        <v>600839.99227578938</v>
      </c>
      <c r="AF33" s="133">
        <f t="shared" si="5"/>
        <v>302083.99227578938</v>
      </c>
      <c r="AG33" s="133">
        <f t="shared" si="5"/>
        <v>476938.79227578937</v>
      </c>
      <c r="AH33" s="133">
        <f t="shared" si="5"/>
        <v>588291.19227578933</v>
      </c>
      <c r="AI33" s="133">
        <f t="shared" si="5"/>
        <v>-2932900.4267242108</v>
      </c>
    </row>
    <row r="34" spans="2:35" s="5" customFormat="1" ht="5.0999999999999996" customHeight="1" x14ac:dyDescent="0.2">
      <c r="B34" s="16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row>
    <row r="35" spans="2:35" s="5" customFormat="1" ht="14.25" customHeight="1" x14ac:dyDescent="0.2">
      <c r="B35" s="166" t="s">
        <v>36</v>
      </c>
      <c r="C35" s="150"/>
      <c r="D35" s="151"/>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row>
    <row r="36" spans="2:35" s="5" customFormat="1" ht="5.0999999999999996" customHeight="1" x14ac:dyDescent="0.2">
      <c r="B36" s="16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row>
    <row r="37" spans="2:35" s="5" customFormat="1" x14ac:dyDescent="0.2">
      <c r="B37" s="165" t="s">
        <v>135</v>
      </c>
      <c r="C37" s="133">
        <f>SUM(D37:AI37)</f>
        <v>31137131.928098451</v>
      </c>
      <c r="D37" s="133">
        <f>D33/((1.03)^(D41))</f>
        <v>-2321061.5630999999</v>
      </c>
      <c r="E37" s="133">
        <f>E33/((1.03)^(E41))</f>
        <v>-7547205.5728155319</v>
      </c>
      <c r="F37" s="133">
        <f t="shared" ref="F37:AI37" si="6">F33/((1.03)^(F41))</f>
        <v>-9974065.8708643615</v>
      </c>
      <c r="G37" s="133">
        <f t="shared" si="6"/>
        <v>23226030.145018645</v>
      </c>
      <c r="H37" s="133">
        <f t="shared" si="6"/>
        <v>268397.7145197019</v>
      </c>
      <c r="I37" s="133">
        <f t="shared" si="6"/>
        <v>411411.59183067002</v>
      </c>
      <c r="J37" s="133">
        <f t="shared" si="6"/>
        <v>16200180.771819307</v>
      </c>
      <c r="K37" s="133">
        <f t="shared" si="6"/>
        <v>255825.25258970106</v>
      </c>
      <c r="L37" s="133">
        <f t="shared" si="6"/>
        <v>366593.74822548544</v>
      </c>
      <c r="M37" s="133">
        <f t="shared" si="6"/>
        <v>460493.82354138052</v>
      </c>
      <c r="N37" s="133">
        <f t="shared" si="6"/>
        <v>224778.8604401242</v>
      </c>
      <c r="O37" s="133">
        <f t="shared" si="6"/>
        <v>537514.53638855799</v>
      </c>
      <c r="P37" s="133">
        <f t="shared" si="6"/>
        <v>412615.6059569745</v>
      </c>
      <c r="Q37" s="133">
        <f t="shared" si="6"/>
        <v>453953.07317047653</v>
      </c>
      <c r="R37" s="133">
        <f t="shared" si="6"/>
        <v>307016.4927374954</v>
      </c>
      <c r="S37" s="133">
        <f t="shared" si="6"/>
        <v>385656.32751596696</v>
      </c>
      <c r="T37" s="133">
        <f t="shared" si="6"/>
        <v>-1569549.2118413316</v>
      </c>
      <c r="U37" s="133">
        <f t="shared" si="6"/>
        <v>288555.81298819568</v>
      </c>
      <c r="V37" s="133">
        <f t="shared" si="6"/>
        <v>345559.07405095239</v>
      </c>
      <c r="W37" s="133">
        <f t="shared" si="6"/>
        <v>179430.68501170166</v>
      </c>
      <c r="X37" s="133">
        <f t="shared" si="6"/>
        <v>257121.47920988395</v>
      </c>
      <c r="Y37" s="133">
        <f t="shared" si="6"/>
        <v>6282890.9566376982</v>
      </c>
      <c r="Z37" s="133">
        <f t="shared" si="6"/>
        <v>157655.37020540738</v>
      </c>
      <c r="AA37" s="133">
        <f t="shared" si="6"/>
        <v>241660.95055216667</v>
      </c>
      <c r="AB37" s="133">
        <f t="shared" si="6"/>
        <v>289400.2842718538</v>
      </c>
      <c r="AC37" s="133">
        <f t="shared" si="6"/>
        <v>318393.55207354081</v>
      </c>
      <c r="AD37" s="133">
        <f t="shared" si="6"/>
        <v>1003719.6038733314</v>
      </c>
      <c r="AE37" s="133">
        <f t="shared" si="6"/>
        <v>270491.588788811</v>
      </c>
      <c r="AF37" s="133">
        <f t="shared" si="6"/>
        <v>132033.89052866196</v>
      </c>
      <c r="AG37" s="133">
        <f t="shared" si="6"/>
        <v>202387.24154264669</v>
      </c>
      <c r="AH37" s="133">
        <f t="shared" si="6"/>
        <v>242368.18195745177</v>
      </c>
      <c r="AI37" s="133">
        <f t="shared" si="6"/>
        <v>-1173122.4687271146</v>
      </c>
    </row>
    <row r="38" spans="2:35" s="8" customFormat="1" ht="14.25" x14ac:dyDescent="0.2">
      <c r="B38" s="165" t="s">
        <v>136</v>
      </c>
      <c r="C38" s="133">
        <f>SUM(D38:AI38)</f>
        <v>20793344.264114283</v>
      </c>
      <c r="D38" s="133">
        <f>D33/((1.07)^(D41))</f>
        <v>-2321061.5630999999</v>
      </c>
      <c r="E38" s="133">
        <f t="shared" ref="E38:AI38" si="7">E33/((1.07)^(E41))</f>
        <v>-7265067.0467289696</v>
      </c>
      <c r="F38" s="133">
        <f t="shared" si="7"/>
        <v>-9242280.0964276362</v>
      </c>
      <c r="G38" s="133">
        <f t="shared" si="7"/>
        <v>20717403.586874735</v>
      </c>
      <c r="H38" s="133">
        <f t="shared" si="7"/>
        <v>230458.43134340132</v>
      </c>
      <c r="I38" s="133">
        <f t="shared" si="7"/>
        <v>340050.76735226996</v>
      </c>
      <c r="J38" s="133">
        <f t="shared" si="7"/>
        <v>12889632.725121377</v>
      </c>
      <c r="K38" s="133">
        <f t="shared" si="7"/>
        <v>195937.490178176</v>
      </c>
      <c r="L38" s="133">
        <f t="shared" si="7"/>
        <v>270279.2035733973</v>
      </c>
      <c r="M38" s="133">
        <f t="shared" si="7"/>
        <v>326817.1456928007</v>
      </c>
      <c r="N38" s="133">
        <f t="shared" si="7"/>
        <v>153564.18363862709</v>
      </c>
      <c r="O38" s="133">
        <f t="shared" si="7"/>
        <v>353490.81272097008</v>
      </c>
      <c r="P38" s="133">
        <f t="shared" si="7"/>
        <v>261208.32488644135</v>
      </c>
      <c r="Q38" s="133">
        <f t="shared" si="7"/>
        <v>276634.13714316051</v>
      </c>
      <c r="R38" s="133">
        <f t="shared" si="7"/>
        <v>180098.44556045346</v>
      </c>
      <c r="S38" s="133">
        <f t="shared" si="7"/>
        <v>217772.06364230599</v>
      </c>
      <c r="T38" s="133">
        <f t="shared" si="7"/>
        <v>-853159.22192600148</v>
      </c>
      <c r="U38" s="133">
        <f t="shared" si="7"/>
        <v>150986.60745339686</v>
      </c>
      <c r="V38" s="133">
        <f t="shared" si="7"/>
        <v>174054.1360842174</v>
      </c>
      <c r="W38" s="133">
        <f t="shared" si="7"/>
        <v>86998.588902724252</v>
      </c>
      <c r="X38" s="133">
        <f t="shared" si="7"/>
        <v>120007.19872064969</v>
      </c>
      <c r="Y38" s="133">
        <f t="shared" si="7"/>
        <v>2822811.7060234803</v>
      </c>
      <c r="Z38" s="133">
        <f t="shared" si="7"/>
        <v>68184.334046590884</v>
      </c>
      <c r="AA38" s="133">
        <f t="shared" si="7"/>
        <v>100608.75177700729</v>
      </c>
      <c r="AB38" s="133">
        <f t="shared" si="7"/>
        <v>115979.62010281932</v>
      </c>
      <c r="AC38" s="133">
        <f t="shared" si="7"/>
        <v>122828.86522580496</v>
      </c>
      <c r="AD38" s="133">
        <f t="shared" si="7"/>
        <v>372736.59113826364</v>
      </c>
      <c r="AE38" s="133">
        <f t="shared" si="7"/>
        <v>96693.400645718371</v>
      </c>
      <c r="AF38" s="133">
        <f t="shared" si="7"/>
        <v>45434.100778053318</v>
      </c>
      <c r="AG38" s="133">
        <f t="shared" si="7"/>
        <v>67039.859394494546</v>
      </c>
      <c r="AH38" s="133">
        <f t="shared" si="7"/>
        <v>77282.117976706941</v>
      </c>
      <c r="AI38" s="133">
        <f t="shared" si="7"/>
        <v>-360081.00370114559</v>
      </c>
    </row>
    <row r="39" spans="2:35" s="8" customFormat="1" ht="5.0999999999999996" customHeight="1" thickBot="1" x14ac:dyDescent="0.25">
      <c r="B39" s="153"/>
      <c r="C39" s="153"/>
      <c r="D39" s="153"/>
      <c r="E39" s="154"/>
      <c r="F39" s="155"/>
      <c r="G39" s="156"/>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row>
    <row r="40" spans="2:35" s="8" customFormat="1" ht="5.0999999999999996" customHeight="1" x14ac:dyDescent="0.2">
      <c r="B40" s="134"/>
      <c r="C40" s="134"/>
      <c r="D40" s="134"/>
      <c r="E40" s="178"/>
      <c r="F40" s="147"/>
      <c r="G40" s="147"/>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row>
    <row r="41" spans="2:35" s="5" customFormat="1" x14ac:dyDescent="0.2">
      <c r="B41" s="134"/>
      <c r="C41" s="134"/>
      <c r="D41" s="134">
        <v>0</v>
      </c>
      <c r="E41" s="134">
        <v>1</v>
      </c>
      <c r="F41" s="134">
        <v>2</v>
      </c>
      <c r="G41" s="134">
        <v>3</v>
      </c>
      <c r="H41" s="134">
        <v>4</v>
      </c>
      <c r="I41" s="134">
        <v>5</v>
      </c>
      <c r="J41" s="134">
        <v>6</v>
      </c>
      <c r="K41" s="134">
        <v>7</v>
      </c>
      <c r="L41" s="134">
        <v>8</v>
      </c>
      <c r="M41" s="134">
        <v>9</v>
      </c>
      <c r="N41" s="134">
        <v>10</v>
      </c>
      <c r="O41" s="134">
        <v>11</v>
      </c>
      <c r="P41" s="134">
        <v>12</v>
      </c>
      <c r="Q41" s="134">
        <v>13</v>
      </c>
      <c r="R41" s="134">
        <v>14</v>
      </c>
      <c r="S41" s="134">
        <v>15</v>
      </c>
      <c r="T41" s="134">
        <v>16</v>
      </c>
      <c r="U41" s="134">
        <v>17</v>
      </c>
      <c r="V41" s="134">
        <v>18</v>
      </c>
      <c r="W41" s="134">
        <v>19</v>
      </c>
      <c r="X41" s="134">
        <v>20</v>
      </c>
      <c r="Y41" s="134">
        <v>21</v>
      </c>
      <c r="Z41" s="134">
        <v>22</v>
      </c>
      <c r="AA41" s="134">
        <v>23</v>
      </c>
      <c r="AB41" s="134">
        <v>24</v>
      </c>
      <c r="AC41" s="134">
        <v>25</v>
      </c>
      <c r="AD41" s="134">
        <v>26</v>
      </c>
      <c r="AE41" s="134">
        <v>27</v>
      </c>
      <c r="AF41" s="134">
        <v>28</v>
      </c>
      <c r="AG41" s="134">
        <v>29</v>
      </c>
      <c r="AH41" s="134">
        <v>30</v>
      </c>
      <c r="AI41" s="134">
        <v>31</v>
      </c>
    </row>
    <row r="42" spans="2:35" x14ac:dyDescent="0.2">
      <c r="E42" s="147"/>
      <c r="F42" s="147"/>
      <c r="G42" s="147"/>
      <c r="H42" s="146"/>
      <c r="I42" s="146"/>
      <c r="J42" s="146"/>
      <c r="K42" s="146"/>
      <c r="L42" s="146"/>
      <c r="M42" s="146"/>
      <c r="N42" s="146"/>
      <c r="O42" s="142"/>
      <c r="P42" s="142"/>
      <c r="Q42" s="142"/>
      <c r="R42" s="142"/>
      <c r="S42" s="142"/>
      <c r="T42" s="142"/>
      <c r="U42" s="142"/>
      <c r="V42" s="142"/>
      <c r="W42" s="142"/>
      <c r="X42" s="142"/>
      <c r="Y42" s="142"/>
      <c r="Z42" s="142"/>
      <c r="AA42" s="142"/>
      <c r="AB42" s="142"/>
      <c r="AC42" s="142"/>
      <c r="AD42" s="142"/>
      <c r="AE42" s="142"/>
      <c r="AF42" s="142"/>
      <c r="AG42" s="142"/>
      <c r="AH42" s="142"/>
      <c r="AI42" s="142"/>
    </row>
    <row r="43" spans="2:35" x14ac:dyDescent="0.2">
      <c r="E43" s="147"/>
      <c r="F43" s="142"/>
      <c r="G43" s="141"/>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row>
    <row r="44" spans="2:35" x14ac:dyDescent="0.2">
      <c r="E44" s="179"/>
      <c r="F44" s="180"/>
      <c r="G44" s="181"/>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row>
    <row r="45" spans="2:35" x14ac:dyDescent="0.2">
      <c r="E45" s="178"/>
      <c r="F45" s="147"/>
      <c r="G45" s="147"/>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row>
    <row r="46" spans="2:35" x14ac:dyDescent="0.2">
      <c r="E46" s="182"/>
      <c r="F46" s="183"/>
      <c r="G46" s="183"/>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row>
    <row r="47" spans="2:35" x14ac:dyDescent="0.2">
      <c r="E47" s="147"/>
      <c r="F47" s="147"/>
      <c r="G47" s="147"/>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row>
    <row r="48" spans="2:35" x14ac:dyDescent="0.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row>
    <row r="49" spans="4:7" x14ac:dyDescent="0.2">
      <c r="E49" s="184"/>
      <c r="F49" s="185"/>
      <c r="G49" s="158"/>
    </row>
    <row r="50" spans="4:7" ht="26.25" customHeight="1" x14ac:dyDescent="0.2">
      <c r="E50" s="184"/>
      <c r="F50" s="185"/>
    </row>
    <row r="51" spans="4:7" x14ac:dyDescent="0.2">
      <c r="D51" s="143"/>
    </row>
    <row r="53" spans="4:7" x14ac:dyDescent="0.2">
      <c r="F53" s="186"/>
    </row>
  </sheetData>
  <phoneticPr fontId="19" type="noConversion"/>
  <pageMargins left="0.25" right="0.25" top="0.75" bottom="0.75" header="0.3" footer="0.3"/>
  <pageSetup scale="30" firstPageNumber="15" orientation="landscape" useFirstPageNumber="1" r:id="rId1"/>
  <rowBreaks count="1" manualBreakCount="1">
    <brk id="51" min="1"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D58"/>
  <sheetViews>
    <sheetView showGridLines="0" view="pageBreakPreview" workbookViewId="0"/>
  </sheetViews>
  <sheetFormatPr defaultColWidth="8.85546875" defaultRowHeight="12.75" x14ac:dyDescent="0.2"/>
  <cols>
    <col min="1" max="1" width="8.7109375" style="6" customWidth="1"/>
    <col min="2" max="2" width="25.7109375" style="6" customWidth="1"/>
    <col min="3" max="4" width="26.7109375" style="6" customWidth="1"/>
    <col min="5" max="204" width="8.85546875" style="6"/>
    <col min="205" max="205" width="37.42578125" style="6" customWidth="1"/>
    <col min="206" max="208" width="0" style="6" hidden="1" customWidth="1"/>
    <col min="209" max="209" width="15.42578125" style="6" bestFit="1" customWidth="1"/>
    <col min="210" max="210" width="16.140625" style="6" customWidth="1"/>
    <col min="211" max="211" width="14.42578125" style="6" customWidth="1"/>
    <col min="212" max="212" width="13" style="6" customWidth="1"/>
    <col min="213" max="238" width="12.7109375" style="6" customWidth="1"/>
    <col min="239" max="460" width="8.85546875" style="6"/>
    <col min="461" max="461" width="37.42578125" style="6" customWidth="1"/>
    <col min="462" max="464" width="0" style="6" hidden="1" customWidth="1"/>
    <col min="465" max="465" width="15.42578125" style="6" bestFit="1" customWidth="1"/>
    <col min="466" max="466" width="16.140625" style="6" customWidth="1"/>
    <col min="467" max="467" width="14.42578125" style="6" customWidth="1"/>
    <col min="468" max="468" width="13" style="6" customWidth="1"/>
    <col min="469" max="494" width="12.7109375" style="6" customWidth="1"/>
    <col min="495" max="716" width="8.85546875" style="6"/>
    <col min="717" max="717" width="37.42578125" style="6" customWidth="1"/>
    <col min="718" max="720" width="0" style="6" hidden="1" customWidth="1"/>
    <col min="721" max="721" width="15.42578125" style="6" bestFit="1" customWidth="1"/>
    <col min="722" max="722" width="16.140625" style="6" customWidth="1"/>
    <col min="723" max="723" width="14.42578125" style="6" customWidth="1"/>
    <col min="724" max="724" width="13" style="6" customWidth="1"/>
    <col min="725" max="750" width="12.7109375" style="6" customWidth="1"/>
    <col min="751" max="972" width="8.85546875" style="6"/>
    <col min="973" max="973" width="37.42578125" style="6" customWidth="1"/>
    <col min="974" max="976" width="0" style="6" hidden="1" customWidth="1"/>
    <col min="977" max="977" width="15.42578125" style="6" bestFit="1" customWidth="1"/>
    <col min="978" max="978" width="16.140625" style="6" customWidth="1"/>
    <col min="979" max="979" width="14.42578125" style="6" customWidth="1"/>
    <col min="980" max="980" width="13" style="6" customWidth="1"/>
    <col min="981" max="1006" width="12.7109375" style="6" customWidth="1"/>
    <col min="1007" max="1228" width="8.85546875" style="6"/>
    <col min="1229" max="1229" width="37.42578125" style="6" customWidth="1"/>
    <col min="1230" max="1232" width="0" style="6" hidden="1" customWidth="1"/>
    <col min="1233" max="1233" width="15.42578125" style="6" bestFit="1" customWidth="1"/>
    <col min="1234" max="1234" width="16.140625" style="6" customWidth="1"/>
    <col min="1235" max="1235" width="14.42578125" style="6" customWidth="1"/>
    <col min="1236" max="1236" width="13" style="6" customWidth="1"/>
    <col min="1237" max="1262" width="12.7109375" style="6" customWidth="1"/>
    <col min="1263" max="1484" width="8.85546875" style="6"/>
    <col min="1485" max="1485" width="37.42578125" style="6" customWidth="1"/>
    <col min="1486" max="1488" width="0" style="6" hidden="1" customWidth="1"/>
    <col min="1489" max="1489" width="15.42578125" style="6" bestFit="1" customWidth="1"/>
    <col min="1490" max="1490" width="16.140625" style="6" customWidth="1"/>
    <col min="1491" max="1491" width="14.42578125" style="6" customWidth="1"/>
    <col min="1492" max="1492" width="13" style="6" customWidth="1"/>
    <col min="1493" max="1518" width="12.7109375" style="6" customWidth="1"/>
    <col min="1519" max="1740" width="8.85546875" style="6"/>
    <col min="1741" max="1741" width="37.42578125" style="6" customWidth="1"/>
    <col min="1742" max="1744" width="0" style="6" hidden="1" customWidth="1"/>
    <col min="1745" max="1745" width="15.42578125" style="6" bestFit="1" customWidth="1"/>
    <col min="1746" max="1746" width="16.140625" style="6" customWidth="1"/>
    <col min="1747" max="1747" width="14.42578125" style="6" customWidth="1"/>
    <col min="1748" max="1748" width="13" style="6" customWidth="1"/>
    <col min="1749" max="1774" width="12.7109375" style="6" customWidth="1"/>
    <col min="1775" max="1996" width="8.85546875" style="6"/>
    <col min="1997" max="1997" width="37.42578125" style="6" customWidth="1"/>
    <col min="1998" max="2000" width="0" style="6" hidden="1" customWidth="1"/>
    <col min="2001" max="2001" width="15.42578125" style="6" bestFit="1" customWidth="1"/>
    <col min="2002" max="2002" width="16.140625" style="6" customWidth="1"/>
    <col min="2003" max="2003" width="14.42578125" style="6" customWidth="1"/>
    <col min="2004" max="2004" width="13" style="6" customWidth="1"/>
    <col min="2005" max="2030" width="12.7109375" style="6" customWidth="1"/>
    <col min="2031" max="2252" width="8.85546875" style="6"/>
    <col min="2253" max="2253" width="37.42578125" style="6" customWidth="1"/>
    <col min="2254" max="2256" width="0" style="6" hidden="1" customWidth="1"/>
    <col min="2257" max="2257" width="15.42578125" style="6" bestFit="1" customWidth="1"/>
    <col min="2258" max="2258" width="16.140625" style="6" customWidth="1"/>
    <col min="2259" max="2259" width="14.42578125" style="6" customWidth="1"/>
    <col min="2260" max="2260" width="13" style="6" customWidth="1"/>
    <col min="2261" max="2286" width="12.7109375" style="6" customWidth="1"/>
    <col min="2287" max="2508" width="8.85546875" style="6"/>
    <col min="2509" max="2509" width="37.42578125" style="6" customWidth="1"/>
    <col min="2510" max="2512" width="0" style="6" hidden="1" customWidth="1"/>
    <col min="2513" max="2513" width="15.42578125" style="6" bestFit="1" customWidth="1"/>
    <col min="2514" max="2514" width="16.140625" style="6" customWidth="1"/>
    <col min="2515" max="2515" width="14.42578125" style="6" customWidth="1"/>
    <col min="2516" max="2516" width="13" style="6" customWidth="1"/>
    <col min="2517" max="2542" width="12.7109375" style="6" customWidth="1"/>
    <col min="2543" max="2764" width="8.85546875" style="6"/>
    <col min="2765" max="2765" width="37.42578125" style="6" customWidth="1"/>
    <col min="2766" max="2768" width="0" style="6" hidden="1" customWidth="1"/>
    <col min="2769" max="2769" width="15.42578125" style="6" bestFit="1" customWidth="1"/>
    <col min="2770" max="2770" width="16.140625" style="6" customWidth="1"/>
    <col min="2771" max="2771" width="14.42578125" style="6" customWidth="1"/>
    <col min="2772" max="2772" width="13" style="6" customWidth="1"/>
    <col min="2773" max="2798" width="12.7109375" style="6" customWidth="1"/>
    <col min="2799" max="3020" width="8.85546875" style="6"/>
    <col min="3021" max="3021" width="37.42578125" style="6" customWidth="1"/>
    <col min="3022" max="3024" width="0" style="6" hidden="1" customWidth="1"/>
    <col min="3025" max="3025" width="15.42578125" style="6" bestFit="1" customWidth="1"/>
    <col min="3026" max="3026" width="16.140625" style="6" customWidth="1"/>
    <col min="3027" max="3027" width="14.42578125" style="6" customWidth="1"/>
    <col min="3028" max="3028" width="13" style="6" customWidth="1"/>
    <col min="3029" max="3054" width="12.7109375" style="6" customWidth="1"/>
    <col min="3055" max="3276" width="8.85546875" style="6"/>
    <col min="3277" max="3277" width="37.42578125" style="6" customWidth="1"/>
    <col min="3278" max="3280" width="0" style="6" hidden="1" customWidth="1"/>
    <col min="3281" max="3281" width="15.42578125" style="6" bestFit="1" customWidth="1"/>
    <col min="3282" max="3282" width="16.140625" style="6" customWidth="1"/>
    <col min="3283" max="3283" width="14.42578125" style="6" customWidth="1"/>
    <col min="3284" max="3284" width="13" style="6" customWidth="1"/>
    <col min="3285" max="3310" width="12.7109375" style="6" customWidth="1"/>
    <col min="3311" max="3532" width="8.85546875" style="6"/>
    <col min="3533" max="3533" width="37.42578125" style="6" customWidth="1"/>
    <col min="3534" max="3536" width="0" style="6" hidden="1" customWidth="1"/>
    <col min="3537" max="3537" width="15.42578125" style="6" bestFit="1" customWidth="1"/>
    <col min="3538" max="3538" width="16.140625" style="6" customWidth="1"/>
    <col min="3539" max="3539" width="14.42578125" style="6" customWidth="1"/>
    <col min="3540" max="3540" width="13" style="6" customWidth="1"/>
    <col min="3541" max="3566" width="12.7109375" style="6" customWidth="1"/>
    <col min="3567" max="3788" width="8.85546875" style="6"/>
    <col min="3789" max="3789" width="37.42578125" style="6" customWidth="1"/>
    <col min="3790" max="3792" width="0" style="6" hidden="1" customWidth="1"/>
    <col min="3793" max="3793" width="15.42578125" style="6" bestFit="1" customWidth="1"/>
    <col min="3794" max="3794" width="16.140625" style="6" customWidth="1"/>
    <col min="3795" max="3795" width="14.42578125" style="6" customWidth="1"/>
    <col min="3796" max="3796" width="13" style="6" customWidth="1"/>
    <col min="3797" max="3822" width="12.7109375" style="6" customWidth="1"/>
    <col min="3823" max="4044" width="8.85546875" style="6"/>
    <col min="4045" max="4045" width="37.42578125" style="6" customWidth="1"/>
    <col min="4046" max="4048" width="0" style="6" hidden="1" customWidth="1"/>
    <col min="4049" max="4049" width="15.42578125" style="6" bestFit="1" customWidth="1"/>
    <col min="4050" max="4050" width="16.140625" style="6" customWidth="1"/>
    <col min="4051" max="4051" width="14.42578125" style="6" customWidth="1"/>
    <col min="4052" max="4052" width="13" style="6" customWidth="1"/>
    <col min="4053" max="4078" width="12.7109375" style="6" customWidth="1"/>
    <col min="4079" max="4300" width="8.85546875" style="6"/>
    <col min="4301" max="4301" width="37.42578125" style="6" customWidth="1"/>
    <col min="4302" max="4304" width="0" style="6" hidden="1" customWidth="1"/>
    <col min="4305" max="4305" width="15.42578125" style="6" bestFit="1" customWidth="1"/>
    <col min="4306" max="4306" width="16.140625" style="6" customWidth="1"/>
    <col min="4307" max="4307" width="14.42578125" style="6" customWidth="1"/>
    <col min="4308" max="4308" width="13" style="6" customWidth="1"/>
    <col min="4309" max="4334" width="12.7109375" style="6" customWidth="1"/>
    <col min="4335" max="4556" width="8.85546875" style="6"/>
    <col min="4557" max="4557" width="37.42578125" style="6" customWidth="1"/>
    <col min="4558" max="4560" width="0" style="6" hidden="1" customWidth="1"/>
    <col min="4561" max="4561" width="15.42578125" style="6" bestFit="1" customWidth="1"/>
    <col min="4562" max="4562" width="16.140625" style="6" customWidth="1"/>
    <col min="4563" max="4563" width="14.42578125" style="6" customWidth="1"/>
    <col min="4564" max="4564" width="13" style="6" customWidth="1"/>
    <col min="4565" max="4590" width="12.7109375" style="6" customWidth="1"/>
    <col min="4591" max="4812" width="8.85546875" style="6"/>
    <col min="4813" max="4813" width="37.42578125" style="6" customWidth="1"/>
    <col min="4814" max="4816" width="0" style="6" hidden="1" customWidth="1"/>
    <col min="4817" max="4817" width="15.42578125" style="6" bestFit="1" customWidth="1"/>
    <col min="4818" max="4818" width="16.140625" style="6" customWidth="1"/>
    <col min="4819" max="4819" width="14.42578125" style="6" customWidth="1"/>
    <col min="4820" max="4820" width="13" style="6" customWidth="1"/>
    <col min="4821" max="4846" width="12.7109375" style="6" customWidth="1"/>
    <col min="4847" max="5068" width="8.85546875" style="6"/>
    <col min="5069" max="5069" width="37.42578125" style="6" customWidth="1"/>
    <col min="5070" max="5072" width="0" style="6" hidden="1" customWidth="1"/>
    <col min="5073" max="5073" width="15.42578125" style="6" bestFit="1" customWidth="1"/>
    <col min="5074" max="5074" width="16.140625" style="6" customWidth="1"/>
    <col min="5075" max="5075" width="14.42578125" style="6" customWidth="1"/>
    <col min="5076" max="5076" width="13" style="6" customWidth="1"/>
    <col min="5077" max="5102" width="12.7109375" style="6" customWidth="1"/>
    <col min="5103" max="5324" width="8.85546875" style="6"/>
    <col min="5325" max="5325" width="37.42578125" style="6" customWidth="1"/>
    <col min="5326" max="5328" width="0" style="6" hidden="1" customWidth="1"/>
    <col min="5329" max="5329" width="15.42578125" style="6" bestFit="1" customWidth="1"/>
    <col min="5330" max="5330" width="16.140625" style="6" customWidth="1"/>
    <col min="5331" max="5331" width="14.42578125" style="6" customWidth="1"/>
    <col min="5332" max="5332" width="13" style="6" customWidth="1"/>
    <col min="5333" max="5358" width="12.7109375" style="6" customWidth="1"/>
    <col min="5359" max="5580" width="8.85546875" style="6"/>
    <col min="5581" max="5581" width="37.42578125" style="6" customWidth="1"/>
    <col min="5582" max="5584" width="0" style="6" hidden="1" customWidth="1"/>
    <col min="5585" max="5585" width="15.42578125" style="6" bestFit="1" customWidth="1"/>
    <col min="5586" max="5586" width="16.140625" style="6" customWidth="1"/>
    <col min="5587" max="5587" width="14.42578125" style="6" customWidth="1"/>
    <col min="5588" max="5588" width="13" style="6" customWidth="1"/>
    <col min="5589" max="5614" width="12.7109375" style="6" customWidth="1"/>
    <col min="5615" max="5836" width="8.85546875" style="6"/>
    <col min="5837" max="5837" width="37.42578125" style="6" customWidth="1"/>
    <col min="5838" max="5840" width="0" style="6" hidden="1" customWidth="1"/>
    <col min="5841" max="5841" width="15.42578125" style="6" bestFit="1" customWidth="1"/>
    <col min="5842" max="5842" width="16.140625" style="6" customWidth="1"/>
    <col min="5843" max="5843" width="14.42578125" style="6" customWidth="1"/>
    <col min="5844" max="5844" width="13" style="6" customWidth="1"/>
    <col min="5845" max="5870" width="12.7109375" style="6" customWidth="1"/>
    <col min="5871" max="6092" width="8.85546875" style="6"/>
    <col min="6093" max="6093" width="37.42578125" style="6" customWidth="1"/>
    <col min="6094" max="6096" width="0" style="6" hidden="1" customWidth="1"/>
    <col min="6097" max="6097" width="15.42578125" style="6" bestFit="1" customWidth="1"/>
    <col min="6098" max="6098" width="16.140625" style="6" customWidth="1"/>
    <col min="6099" max="6099" width="14.42578125" style="6" customWidth="1"/>
    <col min="6100" max="6100" width="13" style="6" customWidth="1"/>
    <col min="6101" max="6126" width="12.7109375" style="6" customWidth="1"/>
    <col min="6127" max="6348" width="8.85546875" style="6"/>
    <col min="6349" max="6349" width="37.42578125" style="6" customWidth="1"/>
    <col min="6350" max="6352" width="0" style="6" hidden="1" customWidth="1"/>
    <col min="6353" max="6353" width="15.42578125" style="6" bestFit="1" customWidth="1"/>
    <col min="6354" max="6354" width="16.140625" style="6" customWidth="1"/>
    <col min="6355" max="6355" width="14.42578125" style="6" customWidth="1"/>
    <col min="6356" max="6356" width="13" style="6" customWidth="1"/>
    <col min="6357" max="6382" width="12.7109375" style="6" customWidth="1"/>
    <col min="6383" max="6604" width="8.85546875" style="6"/>
    <col min="6605" max="6605" width="37.42578125" style="6" customWidth="1"/>
    <col min="6606" max="6608" width="0" style="6" hidden="1" customWidth="1"/>
    <col min="6609" max="6609" width="15.42578125" style="6" bestFit="1" customWidth="1"/>
    <col min="6610" max="6610" width="16.140625" style="6" customWidth="1"/>
    <col min="6611" max="6611" width="14.42578125" style="6" customWidth="1"/>
    <col min="6612" max="6612" width="13" style="6" customWidth="1"/>
    <col min="6613" max="6638" width="12.7109375" style="6" customWidth="1"/>
    <col min="6639" max="6860" width="8.85546875" style="6"/>
    <col min="6861" max="6861" width="37.42578125" style="6" customWidth="1"/>
    <col min="6862" max="6864" width="0" style="6" hidden="1" customWidth="1"/>
    <col min="6865" max="6865" width="15.42578125" style="6" bestFit="1" customWidth="1"/>
    <col min="6866" max="6866" width="16.140625" style="6" customWidth="1"/>
    <col min="6867" max="6867" width="14.42578125" style="6" customWidth="1"/>
    <col min="6868" max="6868" width="13" style="6" customWidth="1"/>
    <col min="6869" max="6894" width="12.7109375" style="6" customWidth="1"/>
    <col min="6895" max="7116" width="8.85546875" style="6"/>
    <col min="7117" max="7117" width="37.42578125" style="6" customWidth="1"/>
    <col min="7118" max="7120" width="0" style="6" hidden="1" customWidth="1"/>
    <col min="7121" max="7121" width="15.42578125" style="6" bestFit="1" customWidth="1"/>
    <col min="7122" max="7122" width="16.140625" style="6" customWidth="1"/>
    <col min="7123" max="7123" width="14.42578125" style="6" customWidth="1"/>
    <col min="7124" max="7124" width="13" style="6" customWidth="1"/>
    <col min="7125" max="7150" width="12.7109375" style="6" customWidth="1"/>
    <col min="7151" max="7372" width="8.85546875" style="6"/>
    <col min="7373" max="7373" width="37.42578125" style="6" customWidth="1"/>
    <col min="7374" max="7376" width="0" style="6" hidden="1" customWidth="1"/>
    <col min="7377" max="7377" width="15.42578125" style="6" bestFit="1" customWidth="1"/>
    <col min="7378" max="7378" width="16.140625" style="6" customWidth="1"/>
    <col min="7379" max="7379" width="14.42578125" style="6" customWidth="1"/>
    <col min="7380" max="7380" width="13" style="6" customWidth="1"/>
    <col min="7381" max="7406" width="12.7109375" style="6" customWidth="1"/>
    <col min="7407" max="7628" width="8.85546875" style="6"/>
    <col min="7629" max="7629" width="37.42578125" style="6" customWidth="1"/>
    <col min="7630" max="7632" width="0" style="6" hidden="1" customWidth="1"/>
    <col min="7633" max="7633" width="15.42578125" style="6" bestFit="1" customWidth="1"/>
    <col min="7634" max="7634" width="16.140625" style="6" customWidth="1"/>
    <col min="7635" max="7635" width="14.42578125" style="6" customWidth="1"/>
    <col min="7636" max="7636" width="13" style="6" customWidth="1"/>
    <col min="7637" max="7662" width="12.7109375" style="6" customWidth="1"/>
    <col min="7663" max="7884" width="8.85546875" style="6"/>
    <col min="7885" max="7885" width="37.42578125" style="6" customWidth="1"/>
    <col min="7886" max="7888" width="0" style="6" hidden="1" customWidth="1"/>
    <col min="7889" max="7889" width="15.42578125" style="6" bestFit="1" customWidth="1"/>
    <col min="7890" max="7890" width="16.140625" style="6" customWidth="1"/>
    <col min="7891" max="7891" width="14.42578125" style="6" customWidth="1"/>
    <col min="7892" max="7892" width="13" style="6" customWidth="1"/>
    <col min="7893" max="7918" width="12.7109375" style="6" customWidth="1"/>
    <col min="7919" max="8140" width="8.85546875" style="6"/>
    <col min="8141" max="8141" width="37.42578125" style="6" customWidth="1"/>
    <col min="8142" max="8144" width="0" style="6" hidden="1" customWidth="1"/>
    <col min="8145" max="8145" width="15.42578125" style="6" bestFit="1" customWidth="1"/>
    <col min="8146" max="8146" width="16.140625" style="6" customWidth="1"/>
    <col min="8147" max="8147" width="14.42578125" style="6" customWidth="1"/>
    <col min="8148" max="8148" width="13" style="6" customWidth="1"/>
    <col min="8149" max="8174" width="12.7109375" style="6" customWidth="1"/>
    <col min="8175" max="8396" width="8.85546875" style="6"/>
    <col min="8397" max="8397" width="37.42578125" style="6" customWidth="1"/>
    <col min="8398" max="8400" width="0" style="6" hidden="1" customWidth="1"/>
    <col min="8401" max="8401" width="15.42578125" style="6" bestFit="1" customWidth="1"/>
    <col min="8402" max="8402" width="16.140625" style="6" customWidth="1"/>
    <col min="8403" max="8403" width="14.42578125" style="6" customWidth="1"/>
    <col min="8404" max="8404" width="13" style="6" customWidth="1"/>
    <col min="8405" max="8430" width="12.7109375" style="6" customWidth="1"/>
    <col min="8431" max="8652" width="8.85546875" style="6"/>
    <col min="8653" max="8653" width="37.42578125" style="6" customWidth="1"/>
    <col min="8654" max="8656" width="0" style="6" hidden="1" customWidth="1"/>
    <col min="8657" max="8657" width="15.42578125" style="6" bestFit="1" customWidth="1"/>
    <col min="8658" max="8658" width="16.140625" style="6" customWidth="1"/>
    <col min="8659" max="8659" width="14.42578125" style="6" customWidth="1"/>
    <col min="8660" max="8660" width="13" style="6" customWidth="1"/>
    <col min="8661" max="8686" width="12.7109375" style="6" customWidth="1"/>
    <col min="8687" max="8908" width="8.85546875" style="6"/>
    <col min="8909" max="8909" width="37.42578125" style="6" customWidth="1"/>
    <col min="8910" max="8912" width="0" style="6" hidden="1" customWidth="1"/>
    <col min="8913" max="8913" width="15.42578125" style="6" bestFit="1" customWidth="1"/>
    <col min="8914" max="8914" width="16.140625" style="6" customWidth="1"/>
    <col min="8915" max="8915" width="14.42578125" style="6" customWidth="1"/>
    <col min="8916" max="8916" width="13" style="6" customWidth="1"/>
    <col min="8917" max="8942" width="12.7109375" style="6" customWidth="1"/>
    <col min="8943" max="9164" width="8.85546875" style="6"/>
    <col min="9165" max="9165" width="37.42578125" style="6" customWidth="1"/>
    <col min="9166" max="9168" width="0" style="6" hidden="1" customWidth="1"/>
    <col min="9169" max="9169" width="15.42578125" style="6" bestFit="1" customWidth="1"/>
    <col min="9170" max="9170" width="16.140625" style="6" customWidth="1"/>
    <col min="9171" max="9171" width="14.42578125" style="6" customWidth="1"/>
    <col min="9172" max="9172" width="13" style="6" customWidth="1"/>
    <col min="9173" max="9198" width="12.7109375" style="6" customWidth="1"/>
    <col min="9199" max="9420" width="8.85546875" style="6"/>
    <col min="9421" max="9421" width="37.42578125" style="6" customWidth="1"/>
    <col min="9422" max="9424" width="0" style="6" hidden="1" customWidth="1"/>
    <col min="9425" max="9425" width="15.42578125" style="6" bestFit="1" customWidth="1"/>
    <col min="9426" max="9426" width="16.140625" style="6" customWidth="1"/>
    <col min="9427" max="9427" width="14.42578125" style="6" customWidth="1"/>
    <col min="9428" max="9428" width="13" style="6" customWidth="1"/>
    <col min="9429" max="9454" width="12.7109375" style="6" customWidth="1"/>
    <col min="9455" max="9676" width="8.85546875" style="6"/>
    <col min="9677" max="9677" width="37.42578125" style="6" customWidth="1"/>
    <col min="9678" max="9680" width="0" style="6" hidden="1" customWidth="1"/>
    <col min="9681" max="9681" width="15.42578125" style="6" bestFit="1" customWidth="1"/>
    <col min="9682" max="9682" width="16.140625" style="6" customWidth="1"/>
    <col min="9683" max="9683" width="14.42578125" style="6" customWidth="1"/>
    <col min="9684" max="9684" width="13" style="6" customWidth="1"/>
    <col min="9685" max="9710" width="12.7109375" style="6" customWidth="1"/>
    <col min="9711" max="9932" width="8.85546875" style="6"/>
    <col min="9933" max="9933" width="37.42578125" style="6" customWidth="1"/>
    <col min="9934" max="9936" width="0" style="6" hidden="1" customWidth="1"/>
    <col min="9937" max="9937" width="15.42578125" style="6" bestFit="1" customWidth="1"/>
    <col min="9938" max="9938" width="16.140625" style="6" customWidth="1"/>
    <col min="9939" max="9939" width="14.42578125" style="6" customWidth="1"/>
    <col min="9940" max="9940" width="13" style="6" customWidth="1"/>
    <col min="9941" max="9966" width="12.7109375" style="6" customWidth="1"/>
    <col min="9967" max="10188" width="8.85546875" style="6"/>
    <col min="10189" max="10189" width="37.42578125" style="6" customWidth="1"/>
    <col min="10190" max="10192" width="0" style="6" hidden="1" customWidth="1"/>
    <col min="10193" max="10193" width="15.42578125" style="6" bestFit="1" customWidth="1"/>
    <col min="10194" max="10194" width="16.140625" style="6" customWidth="1"/>
    <col min="10195" max="10195" width="14.42578125" style="6" customWidth="1"/>
    <col min="10196" max="10196" width="13" style="6" customWidth="1"/>
    <col min="10197" max="10222" width="12.7109375" style="6" customWidth="1"/>
    <col min="10223" max="10444" width="8.85546875" style="6"/>
    <col min="10445" max="10445" width="37.42578125" style="6" customWidth="1"/>
    <col min="10446" max="10448" width="0" style="6" hidden="1" customWidth="1"/>
    <col min="10449" max="10449" width="15.42578125" style="6" bestFit="1" customWidth="1"/>
    <col min="10450" max="10450" width="16.140625" style="6" customWidth="1"/>
    <col min="10451" max="10451" width="14.42578125" style="6" customWidth="1"/>
    <col min="10452" max="10452" width="13" style="6" customWidth="1"/>
    <col min="10453" max="10478" width="12.7109375" style="6" customWidth="1"/>
    <col min="10479" max="10700" width="8.85546875" style="6"/>
    <col min="10701" max="10701" width="37.42578125" style="6" customWidth="1"/>
    <col min="10702" max="10704" width="0" style="6" hidden="1" customWidth="1"/>
    <col min="10705" max="10705" width="15.42578125" style="6" bestFit="1" customWidth="1"/>
    <col min="10706" max="10706" width="16.140625" style="6" customWidth="1"/>
    <col min="10707" max="10707" width="14.42578125" style="6" customWidth="1"/>
    <col min="10708" max="10708" width="13" style="6" customWidth="1"/>
    <col min="10709" max="10734" width="12.7109375" style="6" customWidth="1"/>
    <col min="10735" max="10956" width="8.85546875" style="6"/>
    <col min="10957" max="10957" width="37.42578125" style="6" customWidth="1"/>
    <col min="10958" max="10960" width="0" style="6" hidden="1" customWidth="1"/>
    <col min="10961" max="10961" width="15.42578125" style="6" bestFit="1" customWidth="1"/>
    <col min="10962" max="10962" width="16.140625" style="6" customWidth="1"/>
    <col min="10963" max="10963" width="14.42578125" style="6" customWidth="1"/>
    <col min="10964" max="10964" width="13" style="6" customWidth="1"/>
    <col min="10965" max="10990" width="12.7109375" style="6" customWidth="1"/>
    <col min="10991" max="11212" width="8.85546875" style="6"/>
    <col min="11213" max="11213" width="37.42578125" style="6" customWidth="1"/>
    <col min="11214" max="11216" width="0" style="6" hidden="1" customWidth="1"/>
    <col min="11217" max="11217" width="15.42578125" style="6" bestFit="1" customWidth="1"/>
    <col min="11218" max="11218" width="16.140625" style="6" customWidth="1"/>
    <col min="11219" max="11219" width="14.42578125" style="6" customWidth="1"/>
    <col min="11220" max="11220" width="13" style="6" customWidth="1"/>
    <col min="11221" max="11246" width="12.7109375" style="6" customWidth="1"/>
    <col min="11247" max="11468" width="8.85546875" style="6"/>
    <col min="11469" max="11469" width="37.42578125" style="6" customWidth="1"/>
    <col min="11470" max="11472" width="0" style="6" hidden="1" customWidth="1"/>
    <col min="11473" max="11473" width="15.42578125" style="6" bestFit="1" customWidth="1"/>
    <col min="11474" max="11474" width="16.140625" style="6" customWidth="1"/>
    <col min="11475" max="11475" width="14.42578125" style="6" customWidth="1"/>
    <col min="11476" max="11476" width="13" style="6" customWidth="1"/>
    <col min="11477" max="11502" width="12.7109375" style="6" customWidth="1"/>
    <col min="11503" max="11724" width="8.85546875" style="6"/>
    <col min="11725" max="11725" width="37.42578125" style="6" customWidth="1"/>
    <col min="11726" max="11728" width="0" style="6" hidden="1" customWidth="1"/>
    <col min="11729" max="11729" width="15.42578125" style="6" bestFit="1" customWidth="1"/>
    <col min="11730" max="11730" width="16.140625" style="6" customWidth="1"/>
    <col min="11731" max="11731" width="14.42578125" style="6" customWidth="1"/>
    <col min="11732" max="11732" width="13" style="6" customWidth="1"/>
    <col min="11733" max="11758" width="12.7109375" style="6" customWidth="1"/>
    <col min="11759" max="11980" width="8.85546875" style="6"/>
    <col min="11981" max="11981" width="37.42578125" style="6" customWidth="1"/>
    <col min="11982" max="11984" width="0" style="6" hidden="1" customWidth="1"/>
    <col min="11985" max="11985" width="15.42578125" style="6" bestFit="1" customWidth="1"/>
    <col min="11986" max="11986" width="16.140625" style="6" customWidth="1"/>
    <col min="11987" max="11987" width="14.42578125" style="6" customWidth="1"/>
    <col min="11988" max="11988" width="13" style="6" customWidth="1"/>
    <col min="11989" max="12014" width="12.7109375" style="6" customWidth="1"/>
    <col min="12015" max="12236" width="8.85546875" style="6"/>
    <col min="12237" max="12237" width="37.42578125" style="6" customWidth="1"/>
    <col min="12238" max="12240" width="0" style="6" hidden="1" customWidth="1"/>
    <col min="12241" max="12241" width="15.42578125" style="6" bestFit="1" customWidth="1"/>
    <col min="12242" max="12242" width="16.140625" style="6" customWidth="1"/>
    <col min="12243" max="12243" width="14.42578125" style="6" customWidth="1"/>
    <col min="12244" max="12244" width="13" style="6" customWidth="1"/>
    <col min="12245" max="12270" width="12.7109375" style="6" customWidth="1"/>
    <col min="12271" max="12492" width="8.85546875" style="6"/>
    <col min="12493" max="12493" width="37.42578125" style="6" customWidth="1"/>
    <col min="12494" max="12496" width="0" style="6" hidden="1" customWidth="1"/>
    <col min="12497" max="12497" width="15.42578125" style="6" bestFit="1" customWidth="1"/>
    <col min="12498" max="12498" width="16.140625" style="6" customWidth="1"/>
    <col min="12499" max="12499" width="14.42578125" style="6" customWidth="1"/>
    <col min="12500" max="12500" width="13" style="6" customWidth="1"/>
    <col min="12501" max="12526" width="12.7109375" style="6" customWidth="1"/>
    <col min="12527" max="12748" width="8.85546875" style="6"/>
    <col min="12749" max="12749" width="37.42578125" style="6" customWidth="1"/>
    <col min="12750" max="12752" width="0" style="6" hidden="1" customWidth="1"/>
    <col min="12753" max="12753" width="15.42578125" style="6" bestFit="1" customWidth="1"/>
    <col min="12754" max="12754" width="16.140625" style="6" customWidth="1"/>
    <col min="12755" max="12755" width="14.42578125" style="6" customWidth="1"/>
    <col min="12756" max="12756" width="13" style="6" customWidth="1"/>
    <col min="12757" max="12782" width="12.7109375" style="6" customWidth="1"/>
    <col min="12783" max="13004" width="8.85546875" style="6"/>
    <col min="13005" max="13005" width="37.42578125" style="6" customWidth="1"/>
    <col min="13006" max="13008" width="0" style="6" hidden="1" customWidth="1"/>
    <col min="13009" max="13009" width="15.42578125" style="6" bestFit="1" customWidth="1"/>
    <col min="13010" max="13010" width="16.140625" style="6" customWidth="1"/>
    <col min="13011" max="13011" width="14.42578125" style="6" customWidth="1"/>
    <col min="13012" max="13012" width="13" style="6" customWidth="1"/>
    <col min="13013" max="13038" width="12.7109375" style="6" customWidth="1"/>
    <col min="13039" max="13260" width="8.85546875" style="6"/>
    <col min="13261" max="13261" width="37.42578125" style="6" customWidth="1"/>
    <col min="13262" max="13264" width="0" style="6" hidden="1" customWidth="1"/>
    <col min="13265" max="13265" width="15.42578125" style="6" bestFit="1" customWidth="1"/>
    <col min="13266" max="13266" width="16.140625" style="6" customWidth="1"/>
    <col min="13267" max="13267" width="14.42578125" style="6" customWidth="1"/>
    <col min="13268" max="13268" width="13" style="6" customWidth="1"/>
    <col min="13269" max="13294" width="12.7109375" style="6" customWidth="1"/>
    <col min="13295" max="13516" width="8.85546875" style="6"/>
    <col min="13517" max="13517" width="37.42578125" style="6" customWidth="1"/>
    <col min="13518" max="13520" width="0" style="6" hidden="1" customWidth="1"/>
    <col min="13521" max="13521" width="15.42578125" style="6" bestFit="1" customWidth="1"/>
    <col min="13522" max="13522" width="16.140625" style="6" customWidth="1"/>
    <col min="13523" max="13523" width="14.42578125" style="6" customWidth="1"/>
    <col min="13524" max="13524" width="13" style="6" customWidth="1"/>
    <col min="13525" max="13550" width="12.7109375" style="6" customWidth="1"/>
    <col min="13551" max="13772" width="8.85546875" style="6"/>
    <col min="13773" max="13773" width="37.42578125" style="6" customWidth="1"/>
    <col min="13774" max="13776" width="0" style="6" hidden="1" customWidth="1"/>
    <col min="13777" max="13777" width="15.42578125" style="6" bestFit="1" customWidth="1"/>
    <col min="13778" max="13778" width="16.140625" style="6" customWidth="1"/>
    <col min="13779" max="13779" width="14.42578125" style="6" customWidth="1"/>
    <col min="13780" max="13780" width="13" style="6" customWidth="1"/>
    <col min="13781" max="13806" width="12.7109375" style="6" customWidth="1"/>
    <col min="13807" max="14028" width="8.85546875" style="6"/>
    <col min="14029" max="14029" width="37.42578125" style="6" customWidth="1"/>
    <col min="14030" max="14032" width="0" style="6" hidden="1" customWidth="1"/>
    <col min="14033" max="14033" width="15.42578125" style="6" bestFit="1" customWidth="1"/>
    <col min="14034" max="14034" width="16.140625" style="6" customWidth="1"/>
    <col min="14035" max="14035" width="14.42578125" style="6" customWidth="1"/>
    <col min="14036" max="14036" width="13" style="6" customWidth="1"/>
    <col min="14037" max="14062" width="12.7109375" style="6" customWidth="1"/>
    <col min="14063" max="14284" width="8.85546875" style="6"/>
    <col min="14285" max="14285" width="37.42578125" style="6" customWidth="1"/>
    <col min="14286" max="14288" width="0" style="6" hidden="1" customWidth="1"/>
    <col min="14289" max="14289" width="15.42578125" style="6" bestFit="1" customWidth="1"/>
    <col min="14290" max="14290" width="16.140625" style="6" customWidth="1"/>
    <col min="14291" max="14291" width="14.42578125" style="6" customWidth="1"/>
    <col min="14292" max="14292" width="13" style="6" customWidth="1"/>
    <col min="14293" max="14318" width="12.7109375" style="6" customWidth="1"/>
    <col min="14319" max="14540" width="8.85546875" style="6"/>
    <col min="14541" max="14541" width="37.42578125" style="6" customWidth="1"/>
    <col min="14542" max="14544" width="0" style="6" hidden="1" customWidth="1"/>
    <col min="14545" max="14545" width="15.42578125" style="6" bestFit="1" customWidth="1"/>
    <col min="14546" max="14546" width="16.140625" style="6" customWidth="1"/>
    <col min="14547" max="14547" width="14.42578125" style="6" customWidth="1"/>
    <col min="14548" max="14548" width="13" style="6" customWidth="1"/>
    <col min="14549" max="14574" width="12.7109375" style="6" customWidth="1"/>
    <col min="14575" max="14796" width="8.85546875" style="6"/>
    <col min="14797" max="14797" width="37.42578125" style="6" customWidth="1"/>
    <col min="14798" max="14800" width="0" style="6" hidden="1" customWidth="1"/>
    <col min="14801" max="14801" width="15.42578125" style="6" bestFit="1" customWidth="1"/>
    <col min="14802" max="14802" width="16.140625" style="6" customWidth="1"/>
    <col min="14803" max="14803" width="14.42578125" style="6" customWidth="1"/>
    <col min="14804" max="14804" width="13" style="6" customWidth="1"/>
    <col min="14805" max="14830" width="12.7109375" style="6" customWidth="1"/>
    <col min="14831" max="15052" width="8.85546875" style="6"/>
    <col min="15053" max="15053" width="37.42578125" style="6" customWidth="1"/>
    <col min="15054" max="15056" width="0" style="6" hidden="1" customWidth="1"/>
    <col min="15057" max="15057" width="15.42578125" style="6" bestFit="1" customWidth="1"/>
    <col min="15058" max="15058" width="16.140625" style="6" customWidth="1"/>
    <col min="15059" max="15059" width="14.42578125" style="6" customWidth="1"/>
    <col min="15060" max="15060" width="13" style="6" customWidth="1"/>
    <col min="15061" max="15086" width="12.7109375" style="6" customWidth="1"/>
    <col min="15087" max="15308" width="8.85546875" style="6"/>
    <col min="15309" max="15309" width="37.42578125" style="6" customWidth="1"/>
    <col min="15310" max="15312" width="0" style="6" hidden="1" customWidth="1"/>
    <col min="15313" max="15313" width="15.42578125" style="6" bestFit="1" customWidth="1"/>
    <col min="15314" max="15314" width="16.140625" style="6" customWidth="1"/>
    <col min="15315" max="15315" width="14.42578125" style="6" customWidth="1"/>
    <col min="15316" max="15316" width="13" style="6" customWidth="1"/>
    <col min="15317" max="15342" width="12.7109375" style="6" customWidth="1"/>
    <col min="15343" max="15564" width="8.85546875" style="6"/>
    <col min="15565" max="15565" width="37.42578125" style="6" customWidth="1"/>
    <col min="15566" max="15568" width="0" style="6" hidden="1" customWidth="1"/>
    <col min="15569" max="15569" width="15.42578125" style="6" bestFit="1" customWidth="1"/>
    <col min="15570" max="15570" width="16.140625" style="6" customWidth="1"/>
    <col min="15571" max="15571" width="14.42578125" style="6" customWidth="1"/>
    <col min="15572" max="15572" width="13" style="6" customWidth="1"/>
    <col min="15573" max="15598" width="12.7109375" style="6" customWidth="1"/>
    <col min="15599" max="15820" width="8.85546875" style="6"/>
    <col min="15821" max="15821" width="37.42578125" style="6" customWidth="1"/>
    <col min="15822" max="15824" width="0" style="6" hidden="1" customWidth="1"/>
    <col min="15825" max="15825" width="15.42578125" style="6" bestFit="1" customWidth="1"/>
    <col min="15826" max="15826" width="16.140625" style="6" customWidth="1"/>
    <col min="15827" max="15827" width="14.42578125" style="6" customWidth="1"/>
    <col min="15828" max="15828" width="13" style="6" customWidth="1"/>
    <col min="15829" max="15854" width="12.7109375" style="6" customWidth="1"/>
    <col min="15855" max="16076" width="8.85546875" style="6"/>
    <col min="16077" max="16077" width="37.42578125" style="6" customWidth="1"/>
    <col min="16078" max="16080" width="0" style="6" hidden="1" customWidth="1"/>
    <col min="16081" max="16081" width="15.42578125" style="6" bestFit="1" customWidth="1"/>
    <col min="16082" max="16082" width="16.140625" style="6" customWidth="1"/>
    <col min="16083" max="16083" width="14.42578125" style="6" customWidth="1"/>
    <col min="16084" max="16084" width="13" style="6" customWidth="1"/>
    <col min="16085" max="16110" width="12.7109375" style="6" customWidth="1"/>
    <col min="16111" max="16384" width="8.85546875" style="6"/>
  </cols>
  <sheetData>
    <row r="2" spans="1:4" ht="14.25" x14ac:dyDescent="0.2">
      <c r="B2" s="2" t="s">
        <v>13</v>
      </c>
    </row>
    <row r="3" spans="1:4" ht="14.25" x14ac:dyDescent="0.2">
      <c r="B3" s="76" t="s">
        <v>191</v>
      </c>
    </row>
    <row r="4" spans="1:4" ht="14.25" x14ac:dyDescent="0.2">
      <c r="B4" s="22" t="s">
        <v>193</v>
      </c>
    </row>
    <row r="5" spans="1:4" ht="5.0999999999999996" customHeight="1" thickBot="1" x14ac:dyDescent="0.25">
      <c r="B5" s="51"/>
      <c r="C5" s="51"/>
      <c r="D5" s="51"/>
    </row>
    <row r="6" spans="1:4" ht="30" customHeight="1" thickBot="1" x14ac:dyDescent="0.25">
      <c r="B6" s="188" t="s">
        <v>43</v>
      </c>
      <c r="C6" s="189" t="s">
        <v>65</v>
      </c>
      <c r="D6" s="189" t="s">
        <v>66</v>
      </c>
    </row>
    <row r="7" spans="1:4" s="7" customFormat="1" ht="14.25" customHeight="1" x14ac:dyDescent="0.2">
      <c r="A7" s="42"/>
      <c r="B7" s="526" t="s">
        <v>26</v>
      </c>
      <c r="C7" s="526"/>
      <c r="D7" s="526"/>
    </row>
    <row r="8" spans="1:4" ht="27.95" customHeight="1" thickBot="1" x14ac:dyDescent="0.25">
      <c r="A8" s="47"/>
      <c r="B8" s="41" t="s">
        <v>27</v>
      </c>
      <c r="C8" s="77">
        <f>'Lifecycle Cost Savings Summary'!F41</f>
        <v>25959498.352809668</v>
      </c>
      <c r="D8" s="77">
        <f>'Lifecycle Cost Savings Summary'!F42</f>
        <v>19116659.053963937</v>
      </c>
    </row>
    <row r="9" spans="1:4" ht="12.75" customHeight="1" x14ac:dyDescent="0.2">
      <c r="A9" s="47"/>
      <c r="B9" s="525" t="s">
        <v>38</v>
      </c>
      <c r="C9" s="525"/>
      <c r="D9" s="525"/>
    </row>
    <row r="10" spans="1:4" ht="27.95" customHeight="1" x14ac:dyDescent="0.2">
      <c r="A10" s="47"/>
      <c r="B10" s="41" t="s">
        <v>29</v>
      </c>
      <c r="C10" s="77">
        <f>'Land Value - New Summary'!D41</f>
        <v>7354993.5162213435</v>
      </c>
      <c r="D10" s="77">
        <f>'Land Value - New Summary'!D42</f>
        <v>6560586.0365717774</v>
      </c>
    </row>
    <row r="11" spans="1:4" ht="27.95" customHeight="1" x14ac:dyDescent="0.2">
      <c r="A11" s="47"/>
      <c r="B11" s="41" t="s">
        <v>30</v>
      </c>
      <c r="C11" s="77">
        <f>'Land Value - Existing Summary'!D41</f>
        <v>15321182.921260297</v>
      </c>
      <c r="D11" s="77">
        <f>'Land Value - Existing Summary'!D42</f>
        <v>13666353.140257116</v>
      </c>
    </row>
    <row r="12" spans="1:4" ht="27.95" customHeight="1" thickBot="1" x14ac:dyDescent="0.25">
      <c r="A12" s="47"/>
      <c r="B12" s="41" t="s">
        <v>44</v>
      </c>
      <c r="C12" s="71" t="s">
        <v>47</v>
      </c>
      <c r="D12" s="71" t="s">
        <v>47</v>
      </c>
    </row>
    <row r="13" spans="1:4" ht="12.75" customHeight="1" x14ac:dyDescent="0.2">
      <c r="A13" s="47"/>
      <c r="B13" s="525" t="s">
        <v>45</v>
      </c>
      <c r="C13" s="525"/>
      <c r="D13" s="525"/>
    </row>
    <row r="14" spans="1:4" s="5" customFormat="1" ht="27.95" customHeight="1" x14ac:dyDescent="0.2">
      <c r="A14" s="47"/>
      <c r="B14" s="41" t="s">
        <v>48</v>
      </c>
      <c r="C14" s="71" t="s">
        <v>47</v>
      </c>
      <c r="D14" s="71" t="s">
        <v>47</v>
      </c>
    </row>
    <row r="15" spans="1:4" ht="27.95" customHeight="1" thickBot="1" x14ac:dyDescent="0.25">
      <c r="A15" s="47"/>
      <c r="B15" s="41" t="s">
        <v>49</v>
      </c>
      <c r="C15" s="71" t="s">
        <v>50</v>
      </c>
      <c r="D15" s="71" t="s">
        <v>50</v>
      </c>
    </row>
    <row r="16" spans="1:4" ht="12.75" customHeight="1" x14ac:dyDescent="0.2">
      <c r="A16" s="47"/>
      <c r="B16" s="525" t="s">
        <v>31</v>
      </c>
      <c r="C16" s="525"/>
      <c r="D16" s="525"/>
    </row>
    <row r="17" spans="1:4" ht="27.95" customHeight="1" thickBot="1" x14ac:dyDescent="0.25">
      <c r="A17" s="47"/>
      <c r="B17" s="41" t="s">
        <v>120</v>
      </c>
      <c r="C17" s="77">
        <f>'Safety Summary'!D42</f>
        <v>8399402.6570016127</v>
      </c>
      <c r="D17" s="77">
        <f>'Safety Summary'!D43</f>
        <v>4980023.5521333925</v>
      </c>
    </row>
    <row r="18" spans="1:4" ht="12.75" customHeight="1" x14ac:dyDescent="0.2">
      <c r="A18" s="47"/>
      <c r="B18" s="525" t="s">
        <v>32</v>
      </c>
      <c r="C18" s="525"/>
      <c r="D18" s="525"/>
    </row>
    <row r="19" spans="1:4" ht="27.95" customHeight="1" thickBot="1" x14ac:dyDescent="0.25">
      <c r="A19" s="47"/>
      <c r="B19" s="41" t="s">
        <v>46</v>
      </c>
      <c r="C19" s="71" t="s">
        <v>47</v>
      </c>
      <c r="D19" s="71" t="s">
        <v>47</v>
      </c>
    </row>
    <row r="20" spans="1:4" ht="12.75" customHeight="1" x14ac:dyDescent="0.2">
      <c r="A20" s="47"/>
      <c r="B20" s="525" t="s">
        <v>6</v>
      </c>
      <c r="C20" s="525"/>
      <c r="D20" s="525"/>
    </row>
    <row r="21" spans="1:4" ht="27.95" customHeight="1" thickBot="1" x14ac:dyDescent="0.25">
      <c r="A21" s="47"/>
      <c r="B21" s="58" t="s">
        <v>51</v>
      </c>
      <c r="C21" s="100">
        <f>SUM(C19:C19,C17:C17,C10:C11,C8)</f>
        <v>57035077.447292924</v>
      </c>
      <c r="D21" s="100">
        <f>SUM(D19:D19,D17:D17,D10:D11,D8)</f>
        <v>44323621.782926224</v>
      </c>
    </row>
    <row r="22" spans="1:4" ht="12.75" customHeight="1" x14ac:dyDescent="0.2">
      <c r="A22" s="47"/>
      <c r="B22" s="4"/>
      <c r="C22" s="4"/>
      <c r="D22" s="4"/>
    </row>
    <row r="23" spans="1:4" ht="12.75" customHeight="1" x14ac:dyDescent="0.2">
      <c r="A23" s="47"/>
      <c r="B23" s="4"/>
      <c r="C23" s="4"/>
      <c r="D23" s="4"/>
    </row>
    <row r="24" spans="1:4" ht="12.75" customHeight="1" x14ac:dyDescent="0.2">
      <c r="A24" s="57"/>
      <c r="B24" s="39"/>
    </row>
    <row r="25" spans="1:4" ht="5.0999999999999996" customHeight="1" x14ac:dyDescent="0.2"/>
    <row r="26" spans="1:4" ht="12.75" customHeight="1" x14ac:dyDescent="0.2">
      <c r="A26" s="57"/>
    </row>
    <row r="27" spans="1:4" ht="12.75" customHeight="1" x14ac:dyDescent="0.2">
      <c r="A27" s="57"/>
    </row>
    <row r="28" spans="1:4" ht="5.0999999999999996"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s="5" customFormat="1" ht="12.75" customHeight="1" x14ac:dyDescent="0.2"/>
    <row r="36" s="5" customFormat="1" ht="12.75" customHeight="1" x14ac:dyDescent="0.2"/>
    <row r="37" s="5" customFormat="1" ht="12.75" customHeight="1" x14ac:dyDescent="0.2"/>
    <row r="38" s="5" customFormat="1" ht="12.75" customHeight="1" x14ac:dyDescent="0.2"/>
    <row r="39" s="5" customFormat="1" ht="12.75" customHeight="1" x14ac:dyDescent="0.2"/>
    <row r="40" s="5" customFormat="1" ht="12.75" customHeight="1" x14ac:dyDescent="0.2"/>
    <row r="41" s="5" customFormat="1" ht="12.75" customHeight="1" x14ac:dyDescent="0.2"/>
    <row r="42" s="5" customFormat="1" ht="12.75" customHeight="1" x14ac:dyDescent="0.2"/>
    <row r="43" s="5" customFormat="1" ht="12.75" customHeight="1" x14ac:dyDescent="0.2"/>
    <row r="44" s="5" customFormat="1" ht="12.75" customHeight="1" x14ac:dyDescent="0.2"/>
    <row r="45" s="5" customFormat="1" ht="12.75" customHeight="1" x14ac:dyDescent="0.2"/>
    <row r="46" s="8" customFormat="1" ht="12.75" customHeight="1" x14ac:dyDescent="0.2"/>
    <row r="47" s="8" customFormat="1" ht="12.75" customHeight="1" x14ac:dyDescent="0.2"/>
    <row r="48" s="8" customFormat="1" ht="12.75" customHeight="1" x14ac:dyDescent="0.2"/>
    <row r="49" s="5" customFormat="1" x14ac:dyDescent="0.2"/>
    <row r="58" ht="26.25" customHeight="1" x14ac:dyDescent="0.2"/>
  </sheetData>
  <mergeCells count="6">
    <mergeCell ref="B20:D20"/>
    <mergeCell ref="B7:D7"/>
    <mergeCell ref="B9:D9"/>
    <mergeCell ref="B13:D13"/>
    <mergeCell ref="B16:D16"/>
    <mergeCell ref="B18:D18"/>
  </mergeCells>
  <pageMargins left="0.25" right="0.25" top="0.75" bottom="0.75" header="0.3" footer="0.3"/>
  <pageSetup firstPageNumber="15"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F16"/>
  <sheetViews>
    <sheetView showGridLines="0" view="pageBreakPreview" zoomScale="120" zoomScaleNormal="100" zoomScaleSheetLayoutView="120" workbookViewId="0">
      <selection activeCell="A2" sqref="A1:A2"/>
    </sheetView>
  </sheetViews>
  <sheetFormatPr defaultColWidth="8.85546875" defaultRowHeight="15" x14ac:dyDescent="0.25"/>
  <cols>
    <col min="1" max="1" width="8.85546875" style="76"/>
    <col min="2" max="2" width="36.7109375" style="76" customWidth="1"/>
    <col min="3" max="4" width="16.28515625" style="76" customWidth="1"/>
    <col min="5" max="5" width="15.28515625" style="76" bestFit="1" customWidth="1"/>
    <col min="6" max="6" width="14.28515625" bestFit="1" customWidth="1"/>
  </cols>
  <sheetData>
    <row r="2" spans="1:6" x14ac:dyDescent="0.25">
      <c r="B2" s="2" t="s">
        <v>13</v>
      </c>
    </row>
    <row r="3" spans="1:6" x14ac:dyDescent="0.25">
      <c r="B3" s="76" t="s">
        <v>191</v>
      </c>
    </row>
    <row r="4" spans="1:6" s="196" customFormat="1" ht="14.25" x14ac:dyDescent="0.2">
      <c r="A4" s="227"/>
      <c r="B4" s="76" t="s">
        <v>194</v>
      </c>
      <c r="C4" s="76"/>
      <c r="D4" s="227"/>
      <c r="E4" s="227"/>
    </row>
    <row r="5" spans="1:6" s="196" customFormat="1" ht="5.0999999999999996" customHeight="1" thickBot="1" x14ac:dyDescent="0.25">
      <c r="A5" s="227"/>
      <c r="B5" s="222"/>
      <c r="C5" s="222"/>
      <c r="D5" s="227"/>
      <c r="E5" s="227"/>
    </row>
    <row r="6" spans="1:6" s="196" customFormat="1" ht="13.5" thickBot="1" x14ac:dyDescent="0.25">
      <c r="A6" s="227"/>
      <c r="B6" s="63"/>
      <c r="C6" s="24" t="s">
        <v>68</v>
      </c>
      <c r="D6" s="24" t="s">
        <v>187</v>
      </c>
      <c r="E6" s="227"/>
    </row>
    <row r="7" spans="1:6" s="196" customFormat="1" ht="12.75" x14ac:dyDescent="0.2">
      <c r="A7" s="25"/>
      <c r="B7" s="34" t="s">
        <v>20</v>
      </c>
      <c r="C7" s="35">
        <f>'Project Costs'!C12</f>
        <v>24507855.860999998</v>
      </c>
      <c r="D7" s="35">
        <f>C7*(1.03)^2</f>
        <v>26000384.282934897</v>
      </c>
      <c r="E7" s="228"/>
      <c r="F7" s="229"/>
    </row>
    <row r="8" spans="1:6" s="196" customFormat="1" ht="13.5" thickBot="1" x14ac:dyDescent="0.25">
      <c r="A8" s="25"/>
      <c r="B8" s="36" t="s">
        <v>69</v>
      </c>
      <c r="C8" s="37">
        <f>'Maintenance and Repair Costs'!E9</f>
        <v>4400235.2939999998</v>
      </c>
      <c r="D8" s="37">
        <f>C8*(1.03)^2</f>
        <v>4668209.6234045997</v>
      </c>
      <c r="E8" s="227"/>
    </row>
    <row r="9" spans="1:6" s="196" customFormat="1" ht="15" customHeight="1" x14ac:dyDescent="0.2">
      <c r="A9" s="25"/>
      <c r="B9" s="528" t="s">
        <v>189</v>
      </c>
      <c r="C9" s="528"/>
      <c r="D9" s="529"/>
      <c r="E9" s="227"/>
    </row>
    <row r="10" spans="1:6" s="196" customFormat="1" ht="5.0999999999999996" customHeight="1" x14ac:dyDescent="0.2">
      <c r="A10" s="25"/>
      <c r="B10" s="25"/>
      <c r="C10" s="26"/>
      <c r="D10" s="25"/>
      <c r="E10" s="227"/>
    </row>
    <row r="11" spans="1:6" s="196" customFormat="1" ht="13.5" thickBot="1" x14ac:dyDescent="0.25">
      <c r="A11" s="25"/>
      <c r="B11" s="527" t="s">
        <v>67</v>
      </c>
      <c r="C11" s="527"/>
      <c r="D11" s="25"/>
      <c r="E11" s="227"/>
    </row>
    <row r="12" spans="1:6" s="196" customFormat="1" ht="13.5" thickBot="1" x14ac:dyDescent="0.25">
      <c r="A12" s="25"/>
      <c r="B12" s="63"/>
      <c r="C12" s="24" t="s">
        <v>190</v>
      </c>
      <c r="D12" s="25"/>
      <c r="E12" s="227"/>
    </row>
    <row r="13" spans="1:6" s="196" customFormat="1" ht="12.75" x14ac:dyDescent="0.2">
      <c r="A13" s="25"/>
      <c r="B13" s="25" t="s">
        <v>188</v>
      </c>
      <c r="C13" s="26">
        <v>2400000</v>
      </c>
      <c r="D13" s="25"/>
      <c r="E13" s="227"/>
    </row>
    <row r="14" spans="1:6" s="196" customFormat="1" ht="12.75" x14ac:dyDescent="0.2">
      <c r="A14" s="25"/>
      <c r="B14" s="25" t="s">
        <v>184</v>
      </c>
      <c r="C14" s="26">
        <v>5900000</v>
      </c>
      <c r="D14" s="25"/>
      <c r="E14" s="227"/>
    </row>
    <row r="15" spans="1:6" s="196" customFormat="1" ht="12.75" x14ac:dyDescent="0.2">
      <c r="A15" s="227"/>
      <c r="B15" s="60" t="s">
        <v>21</v>
      </c>
      <c r="C15" s="32">
        <v>17700000</v>
      </c>
      <c r="D15" s="227"/>
      <c r="E15" s="227"/>
    </row>
    <row r="16" spans="1:6" s="196" customFormat="1" ht="13.5" thickBot="1" x14ac:dyDescent="0.25">
      <c r="A16" s="227"/>
      <c r="B16" s="61" t="s">
        <v>22</v>
      </c>
      <c r="C16" s="37">
        <f>SUM(C13:C15)</f>
        <v>26000000</v>
      </c>
      <c r="D16" s="227"/>
      <c r="E16" s="227"/>
    </row>
  </sheetData>
  <mergeCells count="2">
    <mergeCell ref="B11:C11"/>
    <mergeCell ref="B9:D9"/>
  </mergeCells>
  <pageMargins left="0.7" right="0.7" top="0.75" bottom="0.75" header="0.3" footer="0.3"/>
  <pageSetup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E11"/>
  <sheetViews>
    <sheetView showGridLines="0" view="pageBreakPreview" zoomScale="130" zoomScaleNormal="100" zoomScaleSheetLayoutView="130" workbookViewId="0"/>
  </sheetViews>
  <sheetFormatPr defaultColWidth="8.85546875" defaultRowHeight="15" x14ac:dyDescent="0.25"/>
  <cols>
    <col min="2" max="2" width="26.42578125" style="22" customWidth="1"/>
    <col min="3" max="4" width="17.7109375" style="22" customWidth="1"/>
  </cols>
  <sheetData>
    <row r="2" spans="1:5" x14ac:dyDescent="0.25">
      <c r="B2" s="2" t="s">
        <v>13</v>
      </c>
      <c r="C2" s="76"/>
      <c r="D2" s="76"/>
    </row>
    <row r="3" spans="1:5" x14ac:dyDescent="0.25">
      <c r="B3" s="76" t="s">
        <v>191</v>
      </c>
      <c r="C3" s="76"/>
      <c r="D3" s="76"/>
    </row>
    <row r="4" spans="1:5" x14ac:dyDescent="0.25">
      <c r="B4" s="530" t="s">
        <v>60</v>
      </c>
      <c r="C4" s="530"/>
      <c r="D4" s="530"/>
    </row>
    <row r="5" spans="1:5" ht="5.0999999999999996" customHeight="1" thickBot="1" x14ac:dyDescent="0.3"/>
    <row r="6" spans="1:5" s="227" customFormat="1" ht="13.5" thickBot="1" x14ac:dyDescent="0.25">
      <c r="B6" s="63"/>
      <c r="C6" s="63" t="s">
        <v>62</v>
      </c>
      <c r="D6" s="64" t="s">
        <v>63</v>
      </c>
    </row>
    <row r="7" spans="1:5" s="227" customFormat="1" ht="12.75" x14ac:dyDescent="0.2">
      <c r="A7" s="25"/>
      <c r="B7" s="34" t="s">
        <v>5</v>
      </c>
      <c r="C7" s="35">
        <f>'Benefits and Costs Summary'!J42</f>
        <v>57035077.447292931</v>
      </c>
      <c r="D7" s="35">
        <f>'Benefits and Costs Summary'!J43</f>
        <v>44323621.782926239</v>
      </c>
      <c r="E7" s="25"/>
    </row>
    <row r="8" spans="1:5" s="227" customFormat="1" ht="12.75" x14ac:dyDescent="0.2">
      <c r="A8" s="25"/>
      <c r="B8" s="29" t="s">
        <v>2</v>
      </c>
      <c r="C8" s="30">
        <f>-'Benefits and Costs Summary'!F42</f>
        <v>25897945.519194476</v>
      </c>
      <c r="D8" s="30">
        <f>-'Benefits and Costs Summary'!F43</f>
        <v>23530277.518811945</v>
      </c>
      <c r="E8" s="25"/>
    </row>
    <row r="9" spans="1:5" s="227" customFormat="1" ht="5.0999999999999996" customHeight="1" x14ac:dyDescent="0.2">
      <c r="A9" s="25"/>
      <c r="B9" s="25"/>
      <c r="C9" s="26"/>
      <c r="D9" s="26"/>
      <c r="E9" s="25"/>
    </row>
    <row r="10" spans="1:5" s="227" customFormat="1" ht="12.75" x14ac:dyDescent="0.2">
      <c r="A10" s="25"/>
      <c r="B10" s="25" t="s">
        <v>41</v>
      </c>
      <c r="C10" s="26">
        <f>C7-C8</f>
        <v>31137131.928098455</v>
      </c>
      <c r="D10" s="26">
        <f>D7-D8</f>
        <v>20793344.264114294</v>
      </c>
      <c r="E10" s="25"/>
    </row>
    <row r="11" spans="1:5" s="227" customFormat="1" ht="13.5" thickBot="1" x14ac:dyDescent="0.25">
      <c r="A11" s="25"/>
      <c r="B11" s="36" t="s">
        <v>61</v>
      </c>
      <c r="C11" s="226">
        <f>C7/C8</f>
        <v>2.2023012367919654</v>
      </c>
      <c r="D11" s="226">
        <f>D7/D8</f>
        <v>1.8836846164474885</v>
      </c>
      <c r="E11" s="25"/>
    </row>
  </sheetData>
  <mergeCells count="1">
    <mergeCell ref="B4:D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L73"/>
  <sheetViews>
    <sheetView showGridLines="0" view="pageBreakPreview" workbookViewId="0"/>
  </sheetViews>
  <sheetFormatPr defaultColWidth="8.85546875" defaultRowHeight="12.75" x14ac:dyDescent="0.2"/>
  <cols>
    <col min="1" max="1" width="8.85546875" style="6"/>
    <col min="2" max="3" width="10.7109375" style="6" customWidth="1"/>
    <col min="4" max="8" width="12.28515625" style="6" customWidth="1"/>
    <col min="9" max="9" width="11.7109375" style="6" customWidth="1"/>
    <col min="10" max="10" width="12.28515625" style="6" customWidth="1"/>
    <col min="11" max="11" width="12.7109375" style="6" customWidth="1"/>
    <col min="12" max="12" width="10.7109375" style="6" customWidth="1"/>
    <col min="13" max="214" width="8.85546875" style="6"/>
    <col min="215" max="215" width="37.42578125" style="6" customWidth="1"/>
    <col min="216" max="218" width="0" style="6" hidden="1" customWidth="1"/>
    <col min="219" max="219" width="15.42578125" style="6" bestFit="1" customWidth="1"/>
    <col min="220" max="220" width="16.140625" style="6" customWidth="1"/>
    <col min="221" max="221" width="14.42578125" style="6" customWidth="1"/>
    <col min="222" max="222" width="13" style="6" customWidth="1"/>
    <col min="223" max="248" width="12.7109375" style="6" customWidth="1"/>
    <col min="249" max="470" width="8.85546875" style="6"/>
    <col min="471" max="471" width="37.42578125" style="6" customWidth="1"/>
    <col min="472" max="474" width="0" style="6" hidden="1" customWidth="1"/>
    <col min="475" max="475" width="15.42578125" style="6" bestFit="1" customWidth="1"/>
    <col min="476" max="476" width="16.140625" style="6" customWidth="1"/>
    <col min="477" max="477" width="14.42578125" style="6" customWidth="1"/>
    <col min="478" max="478" width="13" style="6" customWidth="1"/>
    <col min="479" max="504" width="12.7109375" style="6" customWidth="1"/>
    <col min="505" max="726" width="8.85546875" style="6"/>
    <col min="727" max="727" width="37.42578125" style="6" customWidth="1"/>
    <col min="728" max="730" width="0" style="6" hidden="1" customWidth="1"/>
    <col min="731" max="731" width="15.42578125" style="6" bestFit="1" customWidth="1"/>
    <col min="732" max="732" width="16.140625" style="6" customWidth="1"/>
    <col min="733" max="733" width="14.42578125" style="6" customWidth="1"/>
    <col min="734" max="734" width="13" style="6" customWidth="1"/>
    <col min="735" max="760" width="12.7109375" style="6" customWidth="1"/>
    <col min="761" max="982" width="8.85546875" style="6"/>
    <col min="983" max="983" width="37.42578125" style="6" customWidth="1"/>
    <col min="984" max="986" width="0" style="6" hidden="1" customWidth="1"/>
    <col min="987" max="987" width="15.42578125" style="6" bestFit="1" customWidth="1"/>
    <col min="988" max="988" width="16.140625" style="6" customWidth="1"/>
    <col min="989" max="989" width="14.42578125" style="6" customWidth="1"/>
    <col min="990" max="990" width="13" style="6" customWidth="1"/>
    <col min="991" max="1016" width="12.7109375" style="6" customWidth="1"/>
    <col min="1017" max="1238" width="8.85546875" style="6"/>
    <col min="1239" max="1239" width="37.42578125" style="6" customWidth="1"/>
    <col min="1240" max="1242" width="0" style="6" hidden="1" customWidth="1"/>
    <col min="1243" max="1243" width="15.42578125" style="6" bestFit="1" customWidth="1"/>
    <col min="1244" max="1244" width="16.140625" style="6" customWidth="1"/>
    <col min="1245" max="1245" width="14.42578125" style="6" customWidth="1"/>
    <col min="1246" max="1246" width="13" style="6" customWidth="1"/>
    <col min="1247" max="1272" width="12.7109375" style="6" customWidth="1"/>
    <col min="1273" max="1494" width="8.85546875" style="6"/>
    <col min="1495" max="1495" width="37.42578125" style="6" customWidth="1"/>
    <col min="1496" max="1498" width="0" style="6" hidden="1" customWidth="1"/>
    <col min="1499" max="1499" width="15.42578125" style="6" bestFit="1" customWidth="1"/>
    <col min="1500" max="1500" width="16.140625" style="6" customWidth="1"/>
    <col min="1501" max="1501" width="14.42578125" style="6" customWidth="1"/>
    <col min="1502" max="1502" width="13" style="6" customWidth="1"/>
    <col min="1503" max="1528" width="12.7109375" style="6" customWidth="1"/>
    <col min="1529" max="1750" width="8.85546875" style="6"/>
    <col min="1751" max="1751" width="37.42578125" style="6" customWidth="1"/>
    <col min="1752" max="1754" width="0" style="6" hidden="1" customWidth="1"/>
    <col min="1755" max="1755" width="15.42578125" style="6" bestFit="1" customWidth="1"/>
    <col min="1756" max="1756" width="16.140625" style="6" customWidth="1"/>
    <col min="1757" max="1757" width="14.42578125" style="6" customWidth="1"/>
    <col min="1758" max="1758" width="13" style="6" customWidth="1"/>
    <col min="1759" max="1784" width="12.7109375" style="6" customWidth="1"/>
    <col min="1785" max="2006" width="8.85546875" style="6"/>
    <col min="2007" max="2007" width="37.42578125" style="6" customWidth="1"/>
    <col min="2008" max="2010" width="0" style="6" hidden="1" customWidth="1"/>
    <col min="2011" max="2011" width="15.42578125" style="6" bestFit="1" customWidth="1"/>
    <col min="2012" max="2012" width="16.140625" style="6" customWidth="1"/>
    <col min="2013" max="2013" width="14.42578125" style="6" customWidth="1"/>
    <col min="2014" max="2014" width="13" style="6" customWidth="1"/>
    <col min="2015" max="2040" width="12.7109375" style="6" customWidth="1"/>
    <col min="2041" max="2262" width="8.85546875" style="6"/>
    <col min="2263" max="2263" width="37.42578125" style="6" customWidth="1"/>
    <col min="2264" max="2266" width="0" style="6" hidden="1" customWidth="1"/>
    <col min="2267" max="2267" width="15.42578125" style="6" bestFit="1" customWidth="1"/>
    <col min="2268" max="2268" width="16.140625" style="6" customWidth="1"/>
    <col min="2269" max="2269" width="14.42578125" style="6" customWidth="1"/>
    <col min="2270" max="2270" width="13" style="6" customWidth="1"/>
    <col min="2271" max="2296" width="12.7109375" style="6" customWidth="1"/>
    <col min="2297" max="2518" width="8.85546875" style="6"/>
    <col min="2519" max="2519" width="37.42578125" style="6" customWidth="1"/>
    <col min="2520" max="2522" width="0" style="6" hidden="1" customWidth="1"/>
    <col min="2523" max="2523" width="15.42578125" style="6" bestFit="1" customWidth="1"/>
    <col min="2524" max="2524" width="16.140625" style="6" customWidth="1"/>
    <col min="2525" max="2525" width="14.42578125" style="6" customWidth="1"/>
    <col min="2526" max="2526" width="13" style="6" customWidth="1"/>
    <col min="2527" max="2552" width="12.7109375" style="6" customWidth="1"/>
    <col min="2553" max="2774" width="8.85546875" style="6"/>
    <col min="2775" max="2775" width="37.42578125" style="6" customWidth="1"/>
    <col min="2776" max="2778" width="0" style="6" hidden="1" customWidth="1"/>
    <col min="2779" max="2779" width="15.42578125" style="6" bestFit="1" customWidth="1"/>
    <col min="2780" max="2780" width="16.140625" style="6" customWidth="1"/>
    <col min="2781" max="2781" width="14.42578125" style="6" customWidth="1"/>
    <col min="2782" max="2782" width="13" style="6" customWidth="1"/>
    <col min="2783" max="2808" width="12.7109375" style="6" customWidth="1"/>
    <col min="2809" max="3030" width="8.85546875" style="6"/>
    <col min="3031" max="3031" width="37.42578125" style="6" customWidth="1"/>
    <col min="3032" max="3034" width="0" style="6" hidden="1" customWidth="1"/>
    <col min="3035" max="3035" width="15.42578125" style="6" bestFit="1" customWidth="1"/>
    <col min="3036" max="3036" width="16.140625" style="6" customWidth="1"/>
    <col min="3037" max="3037" width="14.42578125" style="6" customWidth="1"/>
    <col min="3038" max="3038" width="13" style="6" customWidth="1"/>
    <col min="3039" max="3064" width="12.7109375" style="6" customWidth="1"/>
    <col min="3065" max="3286" width="8.85546875" style="6"/>
    <col min="3287" max="3287" width="37.42578125" style="6" customWidth="1"/>
    <col min="3288" max="3290" width="0" style="6" hidden="1" customWidth="1"/>
    <col min="3291" max="3291" width="15.42578125" style="6" bestFit="1" customWidth="1"/>
    <col min="3292" max="3292" width="16.140625" style="6" customWidth="1"/>
    <col min="3293" max="3293" width="14.42578125" style="6" customWidth="1"/>
    <col min="3294" max="3294" width="13" style="6" customWidth="1"/>
    <col min="3295" max="3320" width="12.7109375" style="6" customWidth="1"/>
    <col min="3321" max="3542" width="8.85546875" style="6"/>
    <col min="3543" max="3543" width="37.42578125" style="6" customWidth="1"/>
    <col min="3544" max="3546" width="0" style="6" hidden="1" customWidth="1"/>
    <col min="3547" max="3547" width="15.42578125" style="6" bestFit="1" customWidth="1"/>
    <col min="3548" max="3548" width="16.140625" style="6" customWidth="1"/>
    <col min="3549" max="3549" width="14.42578125" style="6" customWidth="1"/>
    <col min="3550" max="3550" width="13" style="6" customWidth="1"/>
    <col min="3551" max="3576" width="12.7109375" style="6" customWidth="1"/>
    <col min="3577" max="3798" width="8.85546875" style="6"/>
    <col min="3799" max="3799" width="37.42578125" style="6" customWidth="1"/>
    <col min="3800" max="3802" width="0" style="6" hidden="1" customWidth="1"/>
    <col min="3803" max="3803" width="15.42578125" style="6" bestFit="1" customWidth="1"/>
    <col min="3804" max="3804" width="16.140625" style="6" customWidth="1"/>
    <col min="3805" max="3805" width="14.42578125" style="6" customWidth="1"/>
    <col min="3806" max="3806" width="13" style="6" customWidth="1"/>
    <col min="3807" max="3832" width="12.7109375" style="6" customWidth="1"/>
    <col min="3833" max="4054" width="8.85546875" style="6"/>
    <col min="4055" max="4055" width="37.42578125" style="6" customWidth="1"/>
    <col min="4056" max="4058" width="0" style="6" hidden="1" customWidth="1"/>
    <col min="4059" max="4059" width="15.42578125" style="6" bestFit="1" customWidth="1"/>
    <col min="4060" max="4060" width="16.140625" style="6" customWidth="1"/>
    <col min="4061" max="4061" width="14.42578125" style="6" customWidth="1"/>
    <col min="4062" max="4062" width="13" style="6" customWidth="1"/>
    <col min="4063" max="4088" width="12.7109375" style="6" customWidth="1"/>
    <col min="4089" max="4310" width="8.85546875" style="6"/>
    <col min="4311" max="4311" width="37.42578125" style="6" customWidth="1"/>
    <col min="4312" max="4314" width="0" style="6" hidden="1" customWidth="1"/>
    <col min="4315" max="4315" width="15.42578125" style="6" bestFit="1" customWidth="1"/>
    <col min="4316" max="4316" width="16.140625" style="6" customWidth="1"/>
    <col min="4317" max="4317" width="14.42578125" style="6" customWidth="1"/>
    <col min="4318" max="4318" width="13" style="6" customWidth="1"/>
    <col min="4319" max="4344" width="12.7109375" style="6" customWidth="1"/>
    <col min="4345" max="4566" width="8.85546875" style="6"/>
    <col min="4567" max="4567" width="37.42578125" style="6" customWidth="1"/>
    <col min="4568" max="4570" width="0" style="6" hidden="1" customWidth="1"/>
    <col min="4571" max="4571" width="15.42578125" style="6" bestFit="1" customWidth="1"/>
    <col min="4572" max="4572" width="16.140625" style="6" customWidth="1"/>
    <col min="4573" max="4573" width="14.42578125" style="6" customWidth="1"/>
    <col min="4574" max="4574" width="13" style="6" customWidth="1"/>
    <col min="4575" max="4600" width="12.7109375" style="6" customWidth="1"/>
    <col min="4601" max="4822" width="8.85546875" style="6"/>
    <col min="4823" max="4823" width="37.42578125" style="6" customWidth="1"/>
    <col min="4824" max="4826" width="0" style="6" hidden="1" customWidth="1"/>
    <col min="4827" max="4827" width="15.42578125" style="6" bestFit="1" customWidth="1"/>
    <col min="4828" max="4828" width="16.140625" style="6" customWidth="1"/>
    <col min="4829" max="4829" width="14.42578125" style="6" customWidth="1"/>
    <col min="4830" max="4830" width="13" style="6" customWidth="1"/>
    <col min="4831" max="4856" width="12.7109375" style="6" customWidth="1"/>
    <col min="4857" max="5078" width="8.85546875" style="6"/>
    <col min="5079" max="5079" width="37.42578125" style="6" customWidth="1"/>
    <col min="5080" max="5082" width="0" style="6" hidden="1" customWidth="1"/>
    <col min="5083" max="5083" width="15.42578125" style="6" bestFit="1" customWidth="1"/>
    <col min="5084" max="5084" width="16.140625" style="6" customWidth="1"/>
    <col min="5085" max="5085" width="14.42578125" style="6" customWidth="1"/>
    <col min="5086" max="5086" width="13" style="6" customWidth="1"/>
    <col min="5087" max="5112" width="12.7109375" style="6" customWidth="1"/>
    <col min="5113" max="5334" width="8.85546875" style="6"/>
    <col min="5335" max="5335" width="37.42578125" style="6" customWidth="1"/>
    <col min="5336" max="5338" width="0" style="6" hidden="1" customWidth="1"/>
    <col min="5339" max="5339" width="15.42578125" style="6" bestFit="1" customWidth="1"/>
    <col min="5340" max="5340" width="16.140625" style="6" customWidth="1"/>
    <col min="5341" max="5341" width="14.42578125" style="6" customWidth="1"/>
    <col min="5342" max="5342" width="13" style="6" customWidth="1"/>
    <col min="5343" max="5368" width="12.7109375" style="6" customWidth="1"/>
    <col min="5369" max="5590" width="8.85546875" style="6"/>
    <col min="5591" max="5591" width="37.42578125" style="6" customWidth="1"/>
    <col min="5592" max="5594" width="0" style="6" hidden="1" customWidth="1"/>
    <col min="5595" max="5595" width="15.42578125" style="6" bestFit="1" customWidth="1"/>
    <col min="5596" max="5596" width="16.140625" style="6" customWidth="1"/>
    <col min="5597" max="5597" width="14.42578125" style="6" customWidth="1"/>
    <col min="5598" max="5598" width="13" style="6" customWidth="1"/>
    <col min="5599" max="5624" width="12.7109375" style="6" customWidth="1"/>
    <col min="5625" max="5846" width="8.85546875" style="6"/>
    <col min="5847" max="5847" width="37.42578125" style="6" customWidth="1"/>
    <col min="5848" max="5850" width="0" style="6" hidden="1" customWidth="1"/>
    <col min="5851" max="5851" width="15.42578125" style="6" bestFit="1" customWidth="1"/>
    <col min="5852" max="5852" width="16.140625" style="6" customWidth="1"/>
    <col min="5853" max="5853" width="14.42578125" style="6" customWidth="1"/>
    <col min="5854" max="5854" width="13" style="6" customWidth="1"/>
    <col min="5855" max="5880" width="12.7109375" style="6" customWidth="1"/>
    <col min="5881" max="6102" width="8.85546875" style="6"/>
    <col min="6103" max="6103" width="37.42578125" style="6" customWidth="1"/>
    <col min="6104" max="6106" width="0" style="6" hidden="1" customWidth="1"/>
    <col min="6107" max="6107" width="15.42578125" style="6" bestFit="1" customWidth="1"/>
    <col min="6108" max="6108" width="16.140625" style="6" customWidth="1"/>
    <col min="6109" max="6109" width="14.42578125" style="6" customWidth="1"/>
    <col min="6110" max="6110" width="13" style="6" customWidth="1"/>
    <col min="6111" max="6136" width="12.7109375" style="6" customWidth="1"/>
    <col min="6137" max="6358" width="8.85546875" style="6"/>
    <col min="6359" max="6359" width="37.42578125" style="6" customWidth="1"/>
    <col min="6360" max="6362" width="0" style="6" hidden="1" customWidth="1"/>
    <col min="6363" max="6363" width="15.42578125" style="6" bestFit="1" customWidth="1"/>
    <col min="6364" max="6364" width="16.140625" style="6" customWidth="1"/>
    <col min="6365" max="6365" width="14.42578125" style="6" customWidth="1"/>
    <col min="6366" max="6366" width="13" style="6" customWidth="1"/>
    <col min="6367" max="6392" width="12.7109375" style="6" customWidth="1"/>
    <col min="6393" max="6614" width="8.85546875" style="6"/>
    <col min="6615" max="6615" width="37.42578125" style="6" customWidth="1"/>
    <col min="6616" max="6618" width="0" style="6" hidden="1" customWidth="1"/>
    <col min="6619" max="6619" width="15.42578125" style="6" bestFit="1" customWidth="1"/>
    <col min="6620" max="6620" width="16.140625" style="6" customWidth="1"/>
    <col min="6621" max="6621" width="14.42578125" style="6" customWidth="1"/>
    <col min="6622" max="6622" width="13" style="6" customWidth="1"/>
    <col min="6623" max="6648" width="12.7109375" style="6" customWidth="1"/>
    <col min="6649" max="6870" width="8.85546875" style="6"/>
    <col min="6871" max="6871" width="37.42578125" style="6" customWidth="1"/>
    <col min="6872" max="6874" width="0" style="6" hidden="1" customWidth="1"/>
    <col min="6875" max="6875" width="15.42578125" style="6" bestFit="1" customWidth="1"/>
    <col min="6876" max="6876" width="16.140625" style="6" customWidth="1"/>
    <col min="6877" max="6877" width="14.42578125" style="6" customWidth="1"/>
    <col min="6878" max="6878" width="13" style="6" customWidth="1"/>
    <col min="6879" max="6904" width="12.7109375" style="6" customWidth="1"/>
    <col min="6905" max="7126" width="8.85546875" style="6"/>
    <col min="7127" max="7127" width="37.42578125" style="6" customWidth="1"/>
    <col min="7128" max="7130" width="0" style="6" hidden="1" customWidth="1"/>
    <col min="7131" max="7131" width="15.42578125" style="6" bestFit="1" customWidth="1"/>
    <col min="7132" max="7132" width="16.140625" style="6" customWidth="1"/>
    <col min="7133" max="7133" width="14.42578125" style="6" customWidth="1"/>
    <col min="7134" max="7134" width="13" style="6" customWidth="1"/>
    <col min="7135" max="7160" width="12.7109375" style="6" customWidth="1"/>
    <col min="7161" max="7382" width="8.85546875" style="6"/>
    <col min="7383" max="7383" width="37.42578125" style="6" customWidth="1"/>
    <col min="7384" max="7386" width="0" style="6" hidden="1" customWidth="1"/>
    <col min="7387" max="7387" width="15.42578125" style="6" bestFit="1" customWidth="1"/>
    <col min="7388" max="7388" width="16.140625" style="6" customWidth="1"/>
    <col min="7389" max="7389" width="14.42578125" style="6" customWidth="1"/>
    <col min="7390" max="7390" width="13" style="6" customWidth="1"/>
    <col min="7391" max="7416" width="12.7109375" style="6" customWidth="1"/>
    <col min="7417" max="7638" width="8.85546875" style="6"/>
    <col min="7639" max="7639" width="37.42578125" style="6" customWidth="1"/>
    <col min="7640" max="7642" width="0" style="6" hidden="1" customWidth="1"/>
    <col min="7643" max="7643" width="15.42578125" style="6" bestFit="1" customWidth="1"/>
    <col min="7644" max="7644" width="16.140625" style="6" customWidth="1"/>
    <col min="7645" max="7645" width="14.42578125" style="6" customWidth="1"/>
    <col min="7646" max="7646" width="13" style="6" customWidth="1"/>
    <col min="7647" max="7672" width="12.7109375" style="6" customWidth="1"/>
    <col min="7673" max="7894" width="8.85546875" style="6"/>
    <col min="7895" max="7895" width="37.42578125" style="6" customWidth="1"/>
    <col min="7896" max="7898" width="0" style="6" hidden="1" customWidth="1"/>
    <col min="7899" max="7899" width="15.42578125" style="6" bestFit="1" customWidth="1"/>
    <col min="7900" max="7900" width="16.140625" style="6" customWidth="1"/>
    <col min="7901" max="7901" width="14.42578125" style="6" customWidth="1"/>
    <col min="7902" max="7902" width="13" style="6" customWidth="1"/>
    <col min="7903" max="7928" width="12.7109375" style="6" customWidth="1"/>
    <col min="7929" max="8150" width="8.85546875" style="6"/>
    <col min="8151" max="8151" width="37.42578125" style="6" customWidth="1"/>
    <col min="8152" max="8154" width="0" style="6" hidden="1" customWidth="1"/>
    <col min="8155" max="8155" width="15.42578125" style="6" bestFit="1" customWidth="1"/>
    <col min="8156" max="8156" width="16.140625" style="6" customWidth="1"/>
    <col min="8157" max="8157" width="14.42578125" style="6" customWidth="1"/>
    <col min="8158" max="8158" width="13" style="6" customWidth="1"/>
    <col min="8159" max="8184" width="12.7109375" style="6" customWidth="1"/>
    <col min="8185" max="8406" width="8.85546875" style="6"/>
    <col min="8407" max="8407" width="37.42578125" style="6" customWidth="1"/>
    <col min="8408" max="8410" width="0" style="6" hidden="1" customWidth="1"/>
    <col min="8411" max="8411" width="15.42578125" style="6" bestFit="1" customWidth="1"/>
    <col min="8412" max="8412" width="16.140625" style="6" customWidth="1"/>
    <col min="8413" max="8413" width="14.42578125" style="6" customWidth="1"/>
    <col min="8414" max="8414" width="13" style="6" customWidth="1"/>
    <col min="8415" max="8440" width="12.7109375" style="6" customWidth="1"/>
    <col min="8441" max="8662" width="8.85546875" style="6"/>
    <col min="8663" max="8663" width="37.42578125" style="6" customWidth="1"/>
    <col min="8664" max="8666" width="0" style="6" hidden="1" customWidth="1"/>
    <col min="8667" max="8667" width="15.42578125" style="6" bestFit="1" customWidth="1"/>
    <col min="8668" max="8668" width="16.140625" style="6" customWidth="1"/>
    <col min="8669" max="8669" width="14.42578125" style="6" customWidth="1"/>
    <col min="8670" max="8670" width="13" style="6" customWidth="1"/>
    <col min="8671" max="8696" width="12.7109375" style="6" customWidth="1"/>
    <col min="8697" max="8918" width="8.85546875" style="6"/>
    <col min="8919" max="8919" width="37.42578125" style="6" customWidth="1"/>
    <col min="8920" max="8922" width="0" style="6" hidden="1" customWidth="1"/>
    <col min="8923" max="8923" width="15.42578125" style="6" bestFit="1" customWidth="1"/>
    <col min="8924" max="8924" width="16.140625" style="6" customWidth="1"/>
    <col min="8925" max="8925" width="14.42578125" style="6" customWidth="1"/>
    <col min="8926" max="8926" width="13" style="6" customWidth="1"/>
    <col min="8927" max="8952" width="12.7109375" style="6" customWidth="1"/>
    <col min="8953" max="9174" width="8.85546875" style="6"/>
    <col min="9175" max="9175" width="37.42578125" style="6" customWidth="1"/>
    <col min="9176" max="9178" width="0" style="6" hidden="1" customWidth="1"/>
    <col min="9179" max="9179" width="15.42578125" style="6" bestFit="1" customWidth="1"/>
    <col min="9180" max="9180" width="16.140625" style="6" customWidth="1"/>
    <col min="9181" max="9181" width="14.42578125" style="6" customWidth="1"/>
    <col min="9182" max="9182" width="13" style="6" customWidth="1"/>
    <col min="9183" max="9208" width="12.7109375" style="6" customWidth="1"/>
    <col min="9209" max="9430" width="8.85546875" style="6"/>
    <col min="9431" max="9431" width="37.42578125" style="6" customWidth="1"/>
    <col min="9432" max="9434" width="0" style="6" hidden="1" customWidth="1"/>
    <col min="9435" max="9435" width="15.42578125" style="6" bestFit="1" customWidth="1"/>
    <col min="9436" max="9436" width="16.140625" style="6" customWidth="1"/>
    <col min="9437" max="9437" width="14.42578125" style="6" customWidth="1"/>
    <col min="9438" max="9438" width="13" style="6" customWidth="1"/>
    <col min="9439" max="9464" width="12.7109375" style="6" customWidth="1"/>
    <col min="9465" max="9686" width="8.85546875" style="6"/>
    <col min="9687" max="9687" width="37.42578125" style="6" customWidth="1"/>
    <col min="9688" max="9690" width="0" style="6" hidden="1" customWidth="1"/>
    <col min="9691" max="9691" width="15.42578125" style="6" bestFit="1" customWidth="1"/>
    <col min="9692" max="9692" width="16.140625" style="6" customWidth="1"/>
    <col min="9693" max="9693" width="14.42578125" style="6" customWidth="1"/>
    <col min="9694" max="9694" width="13" style="6" customWidth="1"/>
    <col min="9695" max="9720" width="12.7109375" style="6" customWidth="1"/>
    <col min="9721" max="9942" width="8.85546875" style="6"/>
    <col min="9943" max="9943" width="37.42578125" style="6" customWidth="1"/>
    <col min="9944" max="9946" width="0" style="6" hidden="1" customWidth="1"/>
    <col min="9947" max="9947" width="15.42578125" style="6" bestFit="1" customWidth="1"/>
    <col min="9948" max="9948" width="16.140625" style="6" customWidth="1"/>
    <col min="9949" max="9949" width="14.42578125" style="6" customWidth="1"/>
    <col min="9950" max="9950" width="13" style="6" customWidth="1"/>
    <col min="9951" max="9976" width="12.7109375" style="6" customWidth="1"/>
    <col min="9977" max="10198" width="8.85546875" style="6"/>
    <col min="10199" max="10199" width="37.42578125" style="6" customWidth="1"/>
    <col min="10200" max="10202" width="0" style="6" hidden="1" customWidth="1"/>
    <col min="10203" max="10203" width="15.42578125" style="6" bestFit="1" customWidth="1"/>
    <col min="10204" max="10204" width="16.140625" style="6" customWidth="1"/>
    <col min="10205" max="10205" width="14.42578125" style="6" customWidth="1"/>
    <col min="10206" max="10206" width="13" style="6" customWidth="1"/>
    <col min="10207" max="10232" width="12.7109375" style="6" customWidth="1"/>
    <col min="10233" max="10454" width="8.85546875" style="6"/>
    <col min="10455" max="10455" width="37.42578125" style="6" customWidth="1"/>
    <col min="10456" max="10458" width="0" style="6" hidden="1" customWidth="1"/>
    <col min="10459" max="10459" width="15.42578125" style="6" bestFit="1" customWidth="1"/>
    <col min="10460" max="10460" width="16.140625" style="6" customWidth="1"/>
    <col min="10461" max="10461" width="14.42578125" style="6" customWidth="1"/>
    <col min="10462" max="10462" width="13" style="6" customWidth="1"/>
    <col min="10463" max="10488" width="12.7109375" style="6" customWidth="1"/>
    <col min="10489" max="10710" width="8.85546875" style="6"/>
    <col min="10711" max="10711" width="37.42578125" style="6" customWidth="1"/>
    <col min="10712" max="10714" width="0" style="6" hidden="1" customWidth="1"/>
    <col min="10715" max="10715" width="15.42578125" style="6" bestFit="1" customWidth="1"/>
    <col min="10716" max="10716" width="16.140625" style="6" customWidth="1"/>
    <col min="10717" max="10717" width="14.42578125" style="6" customWidth="1"/>
    <col min="10718" max="10718" width="13" style="6" customWidth="1"/>
    <col min="10719" max="10744" width="12.7109375" style="6" customWidth="1"/>
    <col min="10745" max="10966" width="8.85546875" style="6"/>
    <col min="10967" max="10967" width="37.42578125" style="6" customWidth="1"/>
    <col min="10968" max="10970" width="0" style="6" hidden="1" customWidth="1"/>
    <col min="10971" max="10971" width="15.42578125" style="6" bestFit="1" customWidth="1"/>
    <col min="10972" max="10972" width="16.140625" style="6" customWidth="1"/>
    <col min="10973" max="10973" width="14.42578125" style="6" customWidth="1"/>
    <col min="10974" max="10974" width="13" style="6" customWidth="1"/>
    <col min="10975" max="11000" width="12.7109375" style="6" customWidth="1"/>
    <col min="11001" max="11222" width="8.85546875" style="6"/>
    <col min="11223" max="11223" width="37.42578125" style="6" customWidth="1"/>
    <col min="11224" max="11226" width="0" style="6" hidden="1" customWidth="1"/>
    <col min="11227" max="11227" width="15.42578125" style="6" bestFit="1" customWidth="1"/>
    <col min="11228" max="11228" width="16.140625" style="6" customWidth="1"/>
    <col min="11229" max="11229" width="14.42578125" style="6" customWidth="1"/>
    <col min="11230" max="11230" width="13" style="6" customWidth="1"/>
    <col min="11231" max="11256" width="12.7109375" style="6" customWidth="1"/>
    <col min="11257" max="11478" width="8.85546875" style="6"/>
    <col min="11479" max="11479" width="37.42578125" style="6" customWidth="1"/>
    <col min="11480" max="11482" width="0" style="6" hidden="1" customWidth="1"/>
    <col min="11483" max="11483" width="15.42578125" style="6" bestFit="1" customWidth="1"/>
    <col min="11484" max="11484" width="16.140625" style="6" customWidth="1"/>
    <col min="11485" max="11485" width="14.42578125" style="6" customWidth="1"/>
    <col min="11486" max="11486" width="13" style="6" customWidth="1"/>
    <col min="11487" max="11512" width="12.7109375" style="6" customWidth="1"/>
    <col min="11513" max="11734" width="8.85546875" style="6"/>
    <col min="11735" max="11735" width="37.42578125" style="6" customWidth="1"/>
    <col min="11736" max="11738" width="0" style="6" hidden="1" customWidth="1"/>
    <col min="11739" max="11739" width="15.42578125" style="6" bestFit="1" customWidth="1"/>
    <col min="11740" max="11740" width="16.140625" style="6" customWidth="1"/>
    <col min="11741" max="11741" width="14.42578125" style="6" customWidth="1"/>
    <col min="11742" max="11742" width="13" style="6" customWidth="1"/>
    <col min="11743" max="11768" width="12.7109375" style="6" customWidth="1"/>
    <col min="11769" max="11990" width="8.85546875" style="6"/>
    <col min="11991" max="11991" width="37.42578125" style="6" customWidth="1"/>
    <col min="11992" max="11994" width="0" style="6" hidden="1" customWidth="1"/>
    <col min="11995" max="11995" width="15.42578125" style="6" bestFit="1" customWidth="1"/>
    <col min="11996" max="11996" width="16.140625" style="6" customWidth="1"/>
    <col min="11997" max="11997" width="14.42578125" style="6" customWidth="1"/>
    <col min="11998" max="11998" width="13" style="6" customWidth="1"/>
    <col min="11999" max="12024" width="12.7109375" style="6" customWidth="1"/>
    <col min="12025" max="12246" width="8.85546875" style="6"/>
    <col min="12247" max="12247" width="37.42578125" style="6" customWidth="1"/>
    <col min="12248" max="12250" width="0" style="6" hidden="1" customWidth="1"/>
    <col min="12251" max="12251" width="15.42578125" style="6" bestFit="1" customWidth="1"/>
    <col min="12252" max="12252" width="16.140625" style="6" customWidth="1"/>
    <col min="12253" max="12253" width="14.42578125" style="6" customWidth="1"/>
    <col min="12254" max="12254" width="13" style="6" customWidth="1"/>
    <col min="12255" max="12280" width="12.7109375" style="6" customWidth="1"/>
    <col min="12281" max="12502" width="8.85546875" style="6"/>
    <col min="12503" max="12503" width="37.42578125" style="6" customWidth="1"/>
    <col min="12504" max="12506" width="0" style="6" hidden="1" customWidth="1"/>
    <col min="12507" max="12507" width="15.42578125" style="6" bestFit="1" customWidth="1"/>
    <col min="12508" max="12508" width="16.140625" style="6" customWidth="1"/>
    <col min="12509" max="12509" width="14.42578125" style="6" customWidth="1"/>
    <col min="12510" max="12510" width="13" style="6" customWidth="1"/>
    <col min="12511" max="12536" width="12.7109375" style="6" customWidth="1"/>
    <col min="12537" max="12758" width="8.85546875" style="6"/>
    <col min="12759" max="12759" width="37.42578125" style="6" customWidth="1"/>
    <col min="12760" max="12762" width="0" style="6" hidden="1" customWidth="1"/>
    <col min="12763" max="12763" width="15.42578125" style="6" bestFit="1" customWidth="1"/>
    <col min="12764" max="12764" width="16.140625" style="6" customWidth="1"/>
    <col min="12765" max="12765" width="14.42578125" style="6" customWidth="1"/>
    <col min="12766" max="12766" width="13" style="6" customWidth="1"/>
    <col min="12767" max="12792" width="12.7109375" style="6" customWidth="1"/>
    <col min="12793" max="13014" width="8.85546875" style="6"/>
    <col min="13015" max="13015" width="37.42578125" style="6" customWidth="1"/>
    <col min="13016" max="13018" width="0" style="6" hidden="1" customWidth="1"/>
    <col min="13019" max="13019" width="15.42578125" style="6" bestFit="1" customWidth="1"/>
    <col min="13020" max="13020" width="16.140625" style="6" customWidth="1"/>
    <col min="13021" max="13021" width="14.42578125" style="6" customWidth="1"/>
    <col min="13022" max="13022" width="13" style="6" customWidth="1"/>
    <col min="13023" max="13048" width="12.7109375" style="6" customWidth="1"/>
    <col min="13049" max="13270" width="8.85546875" style="6"/>
    <col min="13271" max="13271" width="37.42578125" style="6" customWidth="1"/>
    <col min="13272" max="13274" width="0" style="6" hidden="1" customWidth="1"/>
    <col min="13275" max="13275" width="15.42578125" style="6" bestFit="1" customWidth="1"/>
    <col min="13276" max="13276" width="16.140625" style="6" customWidth="1"/>
    <col min="13277" max="13277" width="14.42578125" style="6" customWidth="1"/>
    <col min="13278" max="13278" width="13" style="6" customWidth="1"/>
    <col min="13279" max="13304" width="12.7109375" style="6" customWidth="1"/>
    <col min="13305" max="13526" width="8.85546875" style="6"/>
    <col min="13527" max="13527" width="37.42578125" style="6" customWidth="1"/>
    <col min="13528" max="13530" width="0" style="6" hidden="1" customWidth="1"/>
    <col min="13531" max="13531" width="15.42578125" style="6" bestFit="1" customWidth="1"/>
    <col min="13532" max="13532" width="16.140625" style="6" customWidth="1"/>
    <col min="13533" max="13533" width="14.42578125" style="6" customWidth="1"/>
    <col min="13534" max="13534" width="13" style="6" customWidth="1"/>
    <col min="13535" max="13560" width="12.7109375" style="6" customWidth="1"/>
    <col min="13561" max="13782" width="8.85546875" style="6"/>
    <col min="13783" max="13783" width="37.42578125" style="6" customWidth="1"/>
    <col min="13784" max="13786" width="0" style="6" hidden="1" customWidth="1"/>
    <col min="13787" max="13787" width="15.42578125" style="6" bestFit="1" customWidth="1"/>
    <col min="13788" max="13788" width="16.140625" style="6" customWidth="1"/>
    <col min="13789" max="13789" width="14.42578125" style="6" customWidth="1"/>
    <col min="13790" max="13790" width="13" style="6" customWidth="1"/>
    <col min="13791" max="13816" width="12.7109375" style="6" customWidth="1"/>
    <col min="13817" max="14038" width="8.85546875" style="6"/>
    <col min="14039" max="14039" width="37.42578125" style="6" customWidth="1"/>
    <col min="14040" max="14042" width="0" style="6" hidden="1" customWidth="1"/>
    <col min="14043" max="14043" width="15.42578125" style="6" bestFit="1" customWidth="1"/>
    <col min="14044" max="14044" width="16.140625" style="6" customWidth="1"/>
    <col min="14045" max="14045" width="14.42578125" style="6" customWidth="1"/>
    <col min="14046" max="14046" width="13" style="6" customWidth="1"/>
    <col min="14047" max="14072" width="12.7109375" style="6" customWidth="1"/>
    <col min="14073" max="14294" width="8.85546875" style="6"/>
    <col min="14295" max="14295" width="37.42578125" style="6" customWidth="1"/>
    <col min="14296" max="14298" width="0" style="6" hidden="1" customWidth="1"/>
    <col min="14299" max="14299" width="15.42578125" style="6" bestFit="1" customWidth="1"/>
    <col min="14300" max="14300" width="16.140625" style="6" customWidth="1"/>
    <col min="14301" max="14301" width="14.42578125" style="6" customWidth="1"/>
    <col min="14302" max="14302" width="13" style="6" customWidth="1"/>
    <col min="14303" max="14328" width="12.7109375" style="6" customWidth="1"/>
    <col min="14329" max="14550" width="8.85546875" style="6"/>
    <col min="14551" max="14551" width="37.42578125" style="6" customWidth="1"/>
    <col min="14552" max="14554" width="0" style="6" hidden="1" customWidth="1"/>
    <col min="14555" max="14555" width="15.42578125" style="6" bestFit="1" customWidth="1"/>
    <col min="14556" max="14556" width="16.140625" style="6" customWidth="1"/>
    <col min="14557" max="14557" width="14.42578125" style="6" customWidth="1"/>
    <col min="14558" max="14558" width="13" style="6" customWidth="1"/>
    <col min="14559" max="14584" width="12.7109375" style="6" customWidth="1"/>
    <col min="14585" max="14806" width="8.85546875" style="6"/>
    <col min="14807" max="14807" width="37.42578125" style="6" customWidth="1"/>
    <col min="14808" max="14810" width="0" style="6" hidden="1" customWidth="1"/>
    <col min="14811" max="14811" width="15.42578125" style="6" bestFit="1" customWidth="1"/>
    <col min="14812" max="14812" width="16.140625" style="6" customWidth="1"/>
    <col min="14813" max="14813" width="14.42578125" style="6" customWidth="1"/>
    <col min="14814" max="14814" width="13" style="6" customWidth="1"/>
    <col min="14815" max="14840" width="12.7109375" style="6" customWidth="1"/>
    <col min="14841" max="15062" width="8.85546875" style="6"/>
    <col min="15063" max="15063" width="37.42578125" style="6" customWidth="1"/>
    <col min="15064" max="15066" width="0" style="6" hidden="1" customWidth="1"/>
    <col min="15067" max="15067" width="15.42578125" style="6" bestFit="1" customWidth="1"/>
    <col min="15068" max="15068" width="16.140625" style="6" customWidth="1"/>
    <col min="15069" max="15069" width="14.42578125" style="6" customWidth="1"/>
    <col min="15070" max="15070" width="13" style="6" customWidth="1"/>
    <col min="15071" max="15096" width="12.7109375" style="6" customWidth="1"/>
    <col min="15097" max="15318" width="8.85546875" style="6"/>
    <col min="15319" max="15319" width="37.42578125" style="6" customWidth="1"/>
    <col min="15320" max="15322" width="0" style="6" hidden="1" customWidth="1"/>
    <col min="15323" max="15323" width="15.42578125" style="6" bestFit="1" customWidth="1"/>
    <col min="15324" max="15324" width="16.140625" style="6" customWidth="1"/>
    <col min="15325" max="15325" width="14.42578125" style="6" customWidth="1"/>
    <col min="15326" max="15326" width="13" style="6" customWidth="1"/>
    <col min="15327" max="15352" width="12.7109375" style="6" customWidth="1"/>
    <col min="15353" max="15574" width="8.85546875" style="6"/>
    <col min="15575" max="15575" width="37.42578125" style="6" customWidth="1"/>
    <col min="15576" max="15578" width="0" style="6" hidden="1" customWidth="1"/>
    <col min="15579" max="15579" width="15.42578125" style="6" bestFit="1" customWidth="1"/>
    <col min="15580" max="15580" width="16.140625" style="6" customWidth="1"/>
    <col min="15581" max="15581" width="14.42578125" style="6" customWidth="1"/>
    <col min="15582" max="15582" width="13" style="6" customWidth="1"/>
    <col min="15583" max="15608" width="12.7109375" style="6" customWidth="1"/>
    <col min="15609" max="15830" width="8.85546875" style="6"/>
    <col min="15831" max="15831" width="37.42578125" style="6" customWidth="1"/>
    <col min="15832" max="15834" width="0" style="6" hidden="1" customWidth="1"/>
    <col min="15835" max="15835" width="15.42578125" style="6" bestFit="1" customWidth="1"/>
    <col min="15836" max="15836" width="16.140625" style="6" customWidth="1"/>
    <col min="15837" max="15837" width="14.42578125" style="6" customWidth="1"/>
    <col min="15838" max="15838" width="13" style="6" customWidth="1"/>
    <col min="15839" max="15864" width="12.7109375" style="6" customWidth="1"/>
    <col min="15865" max="16086" width="8.85546875" style="6"/>
    <col min="16087" max="16087" width="37.42578125" style="6" customWidth="1"/>
    <col min="16088" max="16090" width="0" style="6" hidden="1" customWidth="1"/>
    <col min="16091" max="16091" width="15.42578125" style="6" bestFit="1" customWidth="1"/>
    <col min="16092" max="16092" width="16.140625" style="6" customWidth="1"/>
    <col min="16093" max="16093" width="14.42578125" style="6" customWidth="1"/>
    <col min="16094" max="16094" width="13" style="6" customWidth="1"/>
    <col min="16095" max="16120" width="12.7109375" style="6" customWidth="1"/>
    <col min="16121" max="16384" width="8.85546875" style="6"/>
  </cols>
  <sheetData>
    <row r="2" spans="2:12" ht="14.25" x14ac:dyDescent="0.2">
      <c r="B2" s="2" t="s">
        <v>13</v>
      </c>
    </row>
    <row r="3" spans="2:12" ht="14.25" x14ac:dyDescent="0.2">
      <c r="B3" s="76" t="s">
        <v>191</v>
      </c>
    </row>
    <row r="4" spans="2:12" ht="14.25" x14ac:dyDescent="0.2">
      <c r="B4" s="22" t="s">
        <v>195</v>
      </c>
    </row>
    <row r="5" spans="2:12" ht="5.0999999999999996" customHeight="1" thickBot="1" x14ac:dyDescent="0.25"/>
    <row r="6" spans="2:12" ht="24" customHeight="1" thickBot="1" x14ac:dyDescent="0.25">
      <c r="B6" s="109"/>
      <c r="C6" s="109"/>
      <c r="D6" s="531" t="s">
        <v>0</v>
      </c>
      <c r="E6" s="532"/>
      <c r="F6" s="533"/>
      <c r="G6" s="538" t="s">
        <v>3</v>
      </c>
      <c r="H6" s="539"/>
      <c r="I6" s="539"/>
      <c r="J6" s="540"/>
      <c r="K6" s="110" t="s">
        <v>35</v>
      </c>
    </row>
    <row r="7" spans="2:12" s="7" customFormat="1" ht="24.95" customHeight="1" thickBot="1" x14ac:dyDescent="0.25">
      <c r="B7" s="111" t="s">
        <v>15</v>
      </c>
      <c r="C7" s="112" t="s">
        <v>37</v>
      </c>
      <c r="D7" s="111" t="s">
        <v>1</v>
      </c>
      <c r="E7" s="113" t="s">
        <v>42</v>
      </c>
      <c r="F7" s="114" t="s">
        <v>23</v>
      </c>
      <c r="G7" s="111" t="s">
        <v>27</v>
      </c>
      <c r="H7" s="113" t="s">
        <v>38</v>
      </c>
      <c r="I7" s="113" t="s">
        <v>39</v>
      </c>
      <c r="J7" s="114" t="s">
        <v>40</v>
      </c>
      <c r="K7" s="112" t="s">
        <v>41</v>
      </c>
      <c r="L7" s="4"/>
    </row>
    <row r="8" spans="2:12" ht="10.7" customHeight="1" x14ac:dyDescent="0.2">
      <c r="B8" s="115">
        <v>2014</v>
      </c>
      <c r="C8" s="116">
        <v>0</v>
      </c>
      <c r="D8" s="230">
        <f>'Construction Costs Summary'!D7</f>
        <v>-2321061.5630999999</v>
      </c>
      <c r="E8" s="123">
        <f>'Maintenance Costs Summary'!D7</f>
        <v>0</v>
      </c>
      <c r="F8" s="232">
        <f>D8+E8</f>
        <v>-2321061.5630999999</v>
      </c>
      <c r="G8" s="230">
        <f>'Lifecycle Cost Savings Summary'!F7</f>
        <v>0</v>
      </c>
      <c r="H8" s="123">
        <f>'Land Value - Existing Summary'!D7+'Land Value - New Summary'!D7</f>
        <v>0</v>
      </c>
      <c r="I8" s="123">
        <f>'Safety Summary'!D8</f>
        <v>0</v>
      </c>
      <c r="J8" s="233">
        <f>G8+H8+I8</f>
        <v>0</v>
      </c>
      <c r="K8" s="213">
        <f>F8+J8</f>
        <v>-2321061.5630999999</v>
      </c>
      <c r="L8" s="4"/>
    </row>
    <row r="9" spans="2:12" ht="10.7" customHeight="1" x14ac:dyDescent="0.2">
      <c r="B9" s="115">
        <v>2015</v>
      </c>
      <c r="C9" s="116">
        <v>1</v>
      </c>
      <c r="D9" s="230">
        <f>'Construction Costs Summary'!D8</f>
        <v>-11605307.815499999</v>
      </c>
      <c r="E9" s="123">
        <f>'Maintenance Costs Summary'!D8</f>
        <v>0</v>
      </c>
      <c r="F9" s="233">
        <f t="shared" ref="F9:F39" si="0">D9+E9</f>
        <v>-11605307.815499999</v>
      </c>
      <c r="G9" s="230">
        <f>'Lifecycle Cost Savings Summary'!F8</f>
        <v>3831686.0755000003</v>
      </c>
      <c r="H9" s="123">
        <f>'Land Value - Existing Summary'!D8+'Land Value - New Summary'!D8</f>
        <v>0</v>
      </c>
      <c r="I9" s="123">
        <f>'Safety Summary'!D9</f>
        <v>0</v>
      </c>
      <c r="J9" s="233">
        <f t="shared" ref="J9:J39" si="1">G9+H9+I9</f>
        <v>3831686.0755000003</v>
      </c>
      <c r="K9" s="213">
        <f t="shared" ref="K9:K39" si="2">F9+J9</f>
        <v>-7773621.7399999984</v>
      </c>
      <c r="L9" s="4"/>
    </row>
    <row r="10" spans="2:12" ht="10.7" customHeight="1" x14ac:dyDescent="0.2">
      <c r="B10" s="115">
        <v>2016</v>
      </c>
      <c r="C10" s="116">
        <v>2</v>
      </c>
      <c r="D10" s="230">
        <f>'Construction Costs Summary'!D9</f>
        <v>-10581486.4824</v>
      </c>
      <c r="E10" s="123">
        <f>'Maintenance Costs Summary'!D9</f>
        <v>0</v>
      </c>
      <c r="F10" s="233">
        <f t="shared" si="0"/>
        <v>-10581486.4824</v>
      </c>
      <c r="G10" s="230">
        <f>'Lifecycle Cost Savings Summary'!F9</f>
        <v>0</v>
      </c>
      <c r="H10" s="123">
        <f>'Land Value - Existing Summary'!D9+'Land Value - New Summary'!D9</f>
        <v>0</v>
      </c>
      <c r="I10" s="123">
        <f>'Safety Summary'!D10</f>
        <v>0</v>
      </c>
      <c r="J10" s="233">
        <f t="shared" si="1"/>
        <v>0</v>
      </c>
      <c r="K10" s="213">
        <f t="shared" si="2"/>
        <v>-10581486.4824</v>
      </c>
      <c r="L10" s="4"/>
    </row>
    <row r="11" spans="2:12" ht="10.7" customHeight="1" x14ac:dyDescent="0.2">
      <c r="B11" s="115">
        <v>2017</v>
      </c>
      <c r="C11" s="116">
        <v>3</v>
      </c>
      <c r="D11" s="230">
        <f>'Construction Costs Summary'!D10</f>
        <v>0</v>
      </c>
      <c r="E11" s="123">
        <f>'Maintenance Costs Summary'!D10</f>
        <v>0</v>
      </c>
      <c r="F11" s="233">
        <f t="shared" si="0"/>
        <v>0</v>
      </c>
      <c r="G11" s="230">
        <f>'Lifecycle Cost Savings Summary'!F10</f>
        <v>136450</v>
      </c>
      <c r="H11" s="123">
        <f>'Land Value - Existing Summary'!D10+'Land Value - New Summary'!D10</f>
        <v>24778870.25</v>
      </c>
      <c r="I11" s="123">
        <f>'Safety Summary'!D11</f>
        <v>464389.99227578938</v>
      </c>
      <c r="J11" s="233">
        <f t="shared" si="1"/>
        <v>25379710.242275789</v>
      </c>
      <c r="K11" s="213">
        <f t="shared" si="2"/>
        <v>25379710.242275789</v>
      </c>
      <c r="L11" s="4"/>
    </row>
    <row r="12" spans="2:12" ht="10.7" customHeight="1" x14ac:dyDescent="0.2">
      <c r="B12" s="115">
        <v>2018</v>
      </c>
      <c r="C12" s="116">
        <v>4</v>
      </c>
      <c r="D12" s="230">
        <f>'Construction Costs Summary'!D11</f>
        <v>0</v>
      </c>
      <c r="E12" s="123">
        <f>'Maintenance Costs Summary'!D11</f>
        <v>-81153</v>
      </c>
      <c r="F12" s="233">
        <f t="shared" si="0"/>
        <v>-81153</v>
      </c>
      <c r="G12" s="230">
        <f>'Lifecycle Cost Savings Summary'!F11</f>
        <v>-81153</v>
      </c>
      <c r="H12" s="123">
        <f>'Land Value - Existing Summary'!D11+'Land Value - New Summary'!D11</f>
        <v>0</v>
      </c>
      <c r="I12" s="123">
        <f>'Safety Summary'!D12</f>
        <v>464389.99227578938</v>
      </c>
      <c r="J12" s="233">
        <f t="shared" si="1"/>
        <v>383236.99227578938</v>
      </c>
      <c r="K12" s="213">
        <f t="shared" si="2"/>
        <v>302083.99227578938</v>
      </c>
      <c r="L12" s="4"/>
    </row>
    <row r="13" spans="2:12" ht="10.7" customHeight="1" x14ac:dyDescent="0.2">
      <c r="B13" s="115">
        <v>2019</v>
      </c>
      <c r="C13" s="116">
        <v>5</v>
      </c>
      <c r="D13" s="230">
        <f>'Construction Costs Summary'!D12</f>
        <v>0</v>
      </c>
      <c r="E13" s="123">
        <f>'Maintenance Costs Summary'!D12</f>
        <v>0</v>
      </c>
      <c r="F13" s="233">
        <f t="shared" si="0"/>
        <v>0</v>
      </c>
      <c r="G13" s="230">
        <f>'Lifecycle Cost Savings Summary'!F12</f>
        <v>12548.8</v>
      </c>
      <c r="H13" s="123">
        <f>'Land Value - Existing Summary'!D12+'Land Value - New Summary'!D12</f>
        <v>0</v>
      </c>
      <c r="I13" s="123">
        <f>'Safety Summary'!D13</f>
        <v>464389.99227578938</v>
      </c>
      <c r="J13" s="233">
        <f t="shared" si="1"/>
        <v>476938.79227578937</v>
      </c>
      <c r="K13" s="213">
        <f t="shared" si="2"/>
        <v>476938.79227578937</v>
      </c>
      <c r="L13" s="4"/>
    </row>
    <row r="14" spans="2:12" ht="10.7" customHeight="1" x14ac:dyDescent="0.2">
      <c r="B14" s="115">
        <v>2020</v>
      </c>
      <c r="C14" s="116">
        <v>6</v>
      </c>
      <c r="D14" s="230">
        <f>'Construction Costs Summary'!D13</f>
        <v>0</v>
      </c>
      <c r="E14" s="123">
        <f>'Maintenance Costs Summary'!D13</f>
        <v>0</v>
      </c>
      <c r="F14" s="233">
        <f t="shared" si="0"/>
        <v>0</v>
      </c>
      <c r="G14" s="230">
        <f>'Lifecycle Cost Savings Summary'!F13</f>
        <v>18879473.0625</v>
      </c>
      <c r="H14" s="123">
        <f>'Land Value - Existing Summary'!D13+'Land Value - New Summary'!D13</f>
        <v>0</v>
      </c>
      <c r="I14" s="123">
        <f>'Safety Summary'!D14</f>
        <v>464389.99227578938</v>
      </c>
      <c r="J14" s="233">
        <f t="shared" si="1"/>
        <v>19343863.054775789</v>
      </c>
      <c r="K14" s="213">
        <f t="shared" si="2"/>
        <v>19343863.054775789</v>
      </c>
      <c r="L14" s="4"/>
    </row>
    <row r="15" spans="2:12" ht="10.7" customHeight="1" x14ac:dyDescent="0.2">
      <c r="B15" s="115">
        <v>2021</v>
      </c>
      <c r="C15" s="116">
        <v>7</v>
      </c>
      <c r="D15" s="230">
        <f>'Construction Costs Summary'!D14</f>
        <v>0</v>
      </c>
      <c r="E15" s="123">
        <f>'Maintenance Costs Summary'!D14</f>
        <v>-81153</v>
      </c>
      <c r="F15" s="233">
        <f t="shared" si="0"/>
        <v>-81153</v>
      </c>
      <c r="G15" s="230">
        <f>'Lifecycle Cost Savings Summary'!F14</f>
        <v>-68604.2</v>
      </c>
      <c r="H15" s="123">
        <f>'Land Value - Existing Summary'!D14+'Land Value - New Summary'!D14</f>
        <v>0</v>
      </c>
      <c r="I15" s="123">
        <f>'Safety Summary'!D15</f>
        <v>464389.99227578938</v>
      </c>
      <c r="J15" s="233">
        <f t="shared" si="1"/>
        <v>395785.79227578937</v>
      </c>
      <c r="K15" s="213">
        <f t="shared" si="2"/>
        <v>314632.79227578937</v>
      </c>
      <c r="L15" s="4"/>
    </row>
    <row r="16" spans="2:12" s="5" customFormat="1" ht="10.7" customHeight="1" x14ac:dyDescent="0.2">
      <c r="B16" s="115">
        <v>2022</v>
      </c>
      <c r="C16" s="116">
        <v>8</v>
      </c>
      <c r="D16" s="230">
        <f>'Construction Costs Summary'!D15</f>
        <v>0</v>
      </c>
      <c r="E16" s="123">
        <f>'Maintenance Costs Summary'!D15</f>
        <v>0</v>
      </c>
      <c r="F16" s="233">
        <f t="shared" si="0"/>
        <v>0</v>
      </c>
      <c r="G16" s="230">
        <f>'Lifecycle Cost Savings Summary'!F15</f>
        <v>0</v>
      </c>
      <c r="H16" s="123">
        <f>'Land Value - Existing Summary'!D15+'Land Value - New Summary'!D15</f>
        <v>0</v>
      </c>
      <c r="I16" s="123">
        <f>'Safety Summary'!D16</f>
        <v>464389.99227578938</v>
      </c>
      <c r="J16" s="233">
        <f t="shared" si="1"/>
        <v>464389.99227578938</v>
      </c>
      <c r="K16" s="213">
        <f t="shared" si="2"/>
        <v>464389.99227578938</v>
      </c>
      <c r="L16" s="4"/>
    </row>
    <row r="17" spans="2:12" ht="10.7" customHeight="1" x14ac:dyDescent="0.2">
      <c r="B17" s="115">
        <v>2023</v>
      </c>
      <c r="C17" s="116">
        <v>9</v>
      </c>
      <c r="D17" s="230">
        <f>'Construction Costs Summary'!D16</f>
        <v>0</v>
      </c>
      <c r="E17" s="123">
        <f>'Maintenance Costs Summary'!D16</f>
        <v>0</v>
      </c>
      <c r="F17" s="233">
        <f t="shared" si="0"/>
        <v>0</v>
      </c>
      <c r="G17" s="230">
        <f>'Lifecycle Cost Savings Summary'!F16</f>
        <v>136450</v>
      </c>
      <c r="H17" s="123">
        <f>'Land Value - Existing Summary'!D16+'Land Value - New Summary'!D16</f>
        <v>0</v>
      </c>
      <c r="I17" s="123">
        <f>'Safety Summary'!D17</f>
        <v>464389.99227578938</v>
      </c>
      <c r="J17" s="233">
        <f t="shared" si="1"/>
        <v>600839.99227578938</v>
      </c>
      <c r="K17" s="213">
        <f t="shared" si="2"/>
        <v>600839.99227578938</v>
      </c>
      <c r="L17" s="4"/>
    </row>
    <row r="18" spans="2:12" ht="10.7" customHeight="1" x14ac:dyDescent="0.2">
      <c r="B18" s="115">
        <v>2024</v>
      </c>
      <c r="C18" s="116">
        <v>10</v>
      </c>
      <c r="D18" s="230">
        <f>'Construction Costs Summary'!D17</f>
        <v>0</v>
      </c>
      <c r="E18" s="123">
        <f>'Maintenance Costs Summary'!D17</f>
        <v>-81153</v>
      </c>
      <c r="F18" s="233">
        <f t="shared" si="0"/>
        <v>-81153</v>
      </c>
      <c r="G18" s="230">
        <f>'Lifecycle Cost Savings Summary'!F17</f>
        <v>-81153</v>
      </c>
      <c r="H18" s="123">
        <f>'Land Value - Existing Summary'!D17+'Land Value - New Summary'!D17</f>
        <v>0</v>
      </c>
      <c r="I18" s="123">
        <f>'Safety Summary'!D18</f>
        <v>464389.99227578938</v>
      </c>
      <c r="J18" s="233">
        <f t="shared" si="1"/>
        <v>383236.99227578938</v>
      </c>
      <c r="K18" s="213">
        <f t="shared" si="2"/>
        <v>302083.99227578938</v>
      </c>
      <c r="L18" s="4"/>
    </row>
    <row r="19" spans="2:12" ht="10.7" customHeight="1" x14ac:dyDescent="0.2">
      <c r="B19" s="115">
        <v>2025</v>
      </c>
      <c r="C19" s="116">
        <v>11</v>
      </c>
      <c r="D19" s="230">
        <f>'Construction Costs Summary'!D18</f>
        <v>0</v>
      </c>
      <c r="E19" s="123">
        <f>'Maintenance Costs Summary'!D18</f>
        <v>0</v>
      </c>
      <c r="F19" s="233">
        <f t="shared" si="0"/>
        <v>0</v>
      </c>
      <c r="G19" s="230">
        <f>'Lifecycle Cost Savings Summary'!F18</f>
        <v>279655.83500000002</v>
      </c>
      <c r="H19" s="123">
        <f>'Land Value - Existing Summary'!D18+'Land Value - New Summary'!D18</f>
        <v>0</v>
      </c>
      <c r="I19" s="123">
        <f>'Safety Summary'!D19</f>
        <v>464389.99227578938</v>
      </c>
      <c r="J19" s="233">
        <f t="shared" si="1"/>
        <v>744045.82727578934</v>
      </c>
      <c r="K19" s="213">
        <f t="shared" si="2"/>
        <v>744045.82727578934</v>
      </c>
      <c r="L19" s="4"/>
    </row>
    <row r="20" spans="2:12" ht="10.7" customHeight="1" x14ac:dyDescent="0.2">
      <c r="B20" s="115">
        <v>2026</v>
      </c>
      <c r="C20" s="116">
        <v>12</v>
      </c>
      <c r="D20" s="230">
        <f>'Construction Costs Summary'!D19</f>
        <v>0</v>
      </c>
      <c r="E20" s="123">
        <f>'Maintenance Costs Summary'!D19</f>
        <v>0</v>
      </c>
      <c r="F20" s="233">
        <f t="shared" si="0"/>
        <v>0</v>
      </c>
      <c r="G20" s="230">
        <f>'Lifecycle Cost Savings Summary'!F19</f>
        <v>123901.2</v>
      </c>
      <c r="H20" s="123">
        <f>'Land Value - Existing Summary'!D19+'Land Value - New Summary'!D19</f>
        <v>0</v>
      </c>
      <c r="I20" s="123">
        <f>'Safety Summary'!D20</f>
        <v>464389.99227578938</v>
      </c>
      <c r="J20" s="233">
        <f t="shared" si="1"/>
        <v>588291.19227578933</v>
      </c>
      <c r="K20" s="213">
        <f t="shared" si="2"/>
        <v>588291.19227578933</v>
      </c>
      <c r="L20" s="4"/>
    </row>
    <row r="21" spans="2:12" ht="10.7" customHeight="1" x14ac:dyDescent="0.2">
      <c r="B21" s="115">
        <v>2027</v>
      </c>
      <c r="C21" s="116">
        <v>13</v>
      </c>
      <c r="D21" s="230">
        <f>'Construction Costs Summary'!D20</f>
        <v>0</v>
      </c>
      <c r="E21" s="123">
        <f>'Maintenance Costs Summary'!D20</f>
        <v>-81153</v>
      </c>
      <c r="F21" s="233">
        <f t="shared" si="0"/>
        <v>-81153</v>
      </c>
      <c r="G21" s="230">
        <f>'Lifecycle Cost Savings Summary'!F20</f>
        <v>283408.40000000002</v>
      </c>
      <c r="H21" s="123">
        <f>'Land Value - Existing Summary'!D20+'Land Value - New Summary'!D20</f>
        <v>0</v>
      </c>
      <c r="I21" s="123">
        <f>'Safety Summary'!D21</f>
        <v>464389.99227578938</v>
      </c>
      <c r="J21" s="233">
        <f t="shared" si="1"/>
        <v>747798.3922757894</v>
      </c>
      <c r="K21" s="213">
        <f t="shared" si="2"/>
        <v>666645.3922757894</v>
      </c>
      <c r="L21" s="4"/>
    </row>
    <row r="22" spans="2:12" ht="10.7" customHeight="1" x14ac:dyDescent="0.2">
      <c r="B22" s="115">
        <v>2028</v>
      </c>
      <c r="C22" s="116">
        <v>14</v>
      </c>
      <c r="D22" s="230">
        <f>'Construction Costs Summary'!D21</f>
        <v>0</v>
      </c>
      <c r="E22" s="123">
        <f>'Maintenance Costs Summary'!D21</f>
        <v>0</v>
      </c>
      <c r="F22" s="233">
        <f t="shared" si="0"/>
        <v>0</v>
      </c>
      <c r="G22" s="230">
        <f>'Lifecycle Cost Savings Summary'!F21</f>
        <v>0</v>
      </c>
      <c r="H22" s="123">
        <f>'Land Value - Existing Summary'!D21+'Land Value - New Summary'!D21</f>
        <v>0</v>
      </c>
      <c r="I22" s="123">
        <f>'Safety Summary'!D22</f>
        <v>464389.99227578938</v>
      </c>
      <c r="J22" s="233">
        <f t="shared" si="1"/>
        <v>464389.99227578938</v>
      </c>
      <c r="K22" s="213">
        <f t="shared" si="2"/>
        <v>464389.99227578938</v>
      </c>
      <c r="L22" s="4"/>
    </row>
    <row r="23" spans="2:12" ht="10.7" customHeight="1" x14ac:dyDescent="0.2">
      <c r="B23" s="115">
        <v>2029</v>
      </c>
      <c r="C23" s="116">
        <v>15</v>
      </c>
      <c r="D23" s="230">
        <f>'Construction Costs Summary'!D22</f>
        <v>0</v>
      </c>
      <c r="E23" s="123">
        <f>'Maintenance Costs Summary'!D22</f>
        <v>0</v>
      </c>
      <c r="F23" s="233">
        <f t="shared" si="0"/>
        <v>0</v>
      </c>
      <c r="G23" s="230">
        <f>'Lifecycle Cost Savings Summary'!F22</f>
        <v>136450</v>
      </c>
      <c r="H23" s="123">
        <f>'Land Value - Existing Summary'!D22+'Land Value - New Summary'!D22</f>
        <v>0</v>
      </c>
      <c r="I23" s="123">
        <f>'Safety Summary'!D23</f>
        <v>464389.99227578938</v>
      </c>
      <c r="J23" s="233">
        <f t="shared" si="1"/>
        <v>600839.99227578938</v>
      </c>
      <c r="K23" s="213">
        <f t="shared" si="2"/>
        <v>600839.99227578938</v>
      </c>
      <c r="L23" s="4"/>
    </row>
    <row r="24" spans="2:12" ht="10.7" customHeight="1" x14ac:dyDescent="0.2">
      <c r="B24" s="115">
        <v>2030</v>
      </c>
      <c r="C24" s="116">
        <v>16</v>
      </c>
      <c r="D24" s="230">
        <f>'Construction Costs Summary'!D23</f>
        <v>0</v>
      </c>
      <c r="E24" s="123">
        <f>'Maintenance Costs Summary'!D23</f>
        <v>-1875505.6470000001</v>
      </c>
      <c r="F24" s="233">
        <f t="shared" si="0"/>
        <v>-1875505.6470000001</v>
      </c>
      <c r="G24" s="230">
        <f>'Lifecycle Cost Savings Summary'!F23</f>
        <v>-1107550.0720000002</v>
      </c>
      <c r="H24" s="123">
        <f>'Land Value - Existing Summary'!D23+'Land Value - New Summary'!D23</f>
        <v>0</v>
      </c>
      <c r="I24" s="123">
        <f>'Safety Summary'!D24</f>
        <v>464389.99227578938</v>
      </c>
      <c r="J24" s="233">
        <f t="shared" si="1"/>
        <v>-643160.07972421078</v>
      </c>
      <c r="K24" s="213">
        <f t="shared" si="2"/>
        <v>-2518665.7267242111</v>
      </c>
      <c r="L24" s="4"/>
    </row>
    <row r="25" spans="2:12" ht="10.7" customHeight="1" x14ac:dyDescent="0.2">
      <c r="B25" s="115">
        <v>2031</v>
      </c>
      <c r="C25" s="116">
        <v>17</v>
      </c>
      <c r="D25" s="230">
        <f>'Construction Costs Summary'!D24</f>
        <v>0</v>
      </c>
      <c r="E25" s="123">
        <f>'Maintenance Costs Summary'!D24</f>
        <v>0</v>
      </c>
      <c r="F25" s="233">
        <f t="shared" si="0"/>
        <v>0</v>
      </c>
      <c r="G25" s="230">
        <f>'Lifecycle Cost Savings Summary'!F24</f>
        <v>12548.8</v>
      </c>
      <c r="H25" s="123">
        <f>'Land Value - Existing Summary'!D24+'Land Value - New Summary'!D24</f>
        <v>0</v>
      </c>
      <c r="I25" s="123">
        <f>'Safety Summary'!D25</f>
        <v>464389.99227578938</v>
      </c>
      <c r="J25" s="233">
        <f t="shared" si="1"/>
        <v>476938.79227578937</v>
      </c>
      <c r="K25" s="213">
        <f t="shared" si="2"/>
        <v>476938.79227578937</v>
      </c>
      <c r="L25" s="4"/>
    </row>
    <row r="26" spans="2:12" ht="10.7" customHeight="1" x14ac:dyDescent="0.2">
      <c r="B26" s="115">
        <v>2032</v>
      </c>
      <c r="C26" s="116">
        <v>18</v>
      </c>
      <c r="D26" s="230">
        <f>'Construction Costs Summary'!D25</f>
        <v>0</v>
      </c>
      <c r="E26" s="123">
        <f>'Maintenance Costs Summary'!D25</f>
        <v>0</v>
      </c>
      <c r="F26" s="233">
        <f t="shared" si="0"/>
        <v>0</v>
      </c>
      <c r="G26" s="230">
        <f>'Lifecycle Cost Savings Summary'!F25</f>
        <v>123901.2</v>
      </c>
      <c r="H26" s="123">
        <f>'Land Value - Existing Summary'!D25+'Land Value - New Summary'!D25</f>
        <v>0</v>
      </c>
      <c r="I26" s="123">
        <f>'Safety Summary'!D26</f>
        <v>464389.99227578938</v>
      </c>
      <c r="J26" s="233">
        <f t="shared" si="1"/>
        <v>588291.19227578933</v>
      </c>
      <c r="K26" s="213">
        <f t="shared" si="2"/>
        <v>588291.19227578933</v>
      </c>
      <c r="L26" s="4"/>
    </row>
    <row r="27" spans="2:12" ht="10.7" customHeight="1" x14ac:dyDescent="0.2">
      <c r="B27" s="115">
        <v>2033</v>
      </c>
      <c r="C27" s="116">
        <v>19</v>
      </c>
      <c r="D27" s="230">
        <f>'Construction Costs Summary'!D26</f>
        <v>0</v>
      </c>
      <c r="E27" s="123">
        <f>'Maintenance Costs Summary'!D26</f>
        <v>-81153</v>
      </c>
      <c r="F27" s="233">
        <f t="shared" si="0"/>
        <v>-81153</v>
      </c>
      <c r="G27" s="230">
        <f>'Lifecycle Cost Savings Summary'!F26</f>
        <v>-68604.2</v>
      </c>
      <c r="H27" s="123">
        <f>'Land Value - Existing Summary'!D26+'Land Value - New Summary'!D26</f>
        <v>0</v>
      </c>
      <c r="I27" s="123">
        <f>'Safety Summary'!D27</f>
        <v>464389.99227578938</v>
      </c>
      <c r="J27" s="233">
        <f t="shared" si="1"/>
        <v>395785.79227578937</v>
      </c>
      <c r="K27" s="213">
        <f t="shared" si="2"/>
        <v>314632.79227578937</v>
      </c>
      <c r="L27" s="4"/>
    </row>
    <row r="28" spans="2:12" ht="10.7" customHeight="1" x14ac:dyDescent="0.2">
      <c r="B28" s="115">
        <v>2034</v>
      </c>
      <c r="C28" s="116">
        <v>20</v>
      </c>
      <c r="D28" s="230">
        <f>'Construction Costs Summary'!D27</f>
        <v>0</v>
      </c>
      <c r="E28" s="123">
        <f>'Maintenance Costs Summary'!D27</f>
        <v>0</v>
      </c>
      <c r="F28" s="233">
        <f t="shared" si="0"/>
        <v>0</v>
      </c>
      <c r="G28" s="230">
        <f>'Lifecycle Cost Savings Summary'!F27</f>
        <v>0</v>
      </c>
      <c r="H28" s="123">
        <f>'Land Value - Existing Summary'!D27+'Land Value - New Summary'!D27</f>
        <v>0</v>
      </c>
      <c r="I28" s="123">
        <f>'Safety Summary'!D28</f>
        <v>464389.99227578938</v>
      </c>
      <c r="J28" s="233">
        <f t="shared" si="1"/>
        <v>464389.99227578938</v>
      </c>
      <c r="K28" s="213">
        <f t="shared" si="2"/>
        <v>464389.99227578938</v>
      </c>
      <c r="L28" s="4"/>
    </row>
    <row r="29" spans="2:12" ht="10.7" customHeight="1" x14ac:dyDescent="0.2">
      <c r="B29" s="115">
        <v>2035</v>
      </c>
      <c r="C29" s="116">
        <v>21</v>
      </c>
      <c r="D29" s="230">
        <f>'Construction Costs Summary'!D28</f>
        <v>0</v>
      </c>
      <c r="E29" s="123">
        <f>'Maintenance Costs Summary'!D28</f>
        <v>0</v>
      </c>
      <c r="F29" s="233">
        <f t="shared" si="0"/>
        <v>0</v>
      </c>
      <c r="G29" s="230">
        <f>'Lifecycle Cost Savings Summary'!F28</f>
        <v>11223637.948999999</v>
      </c>
      <c r="H29" s="123">
        <f>'Land Value - Existing Summary'!D28+'Land Value - New Summary'!D28</f>
        <v>0</v>
      </c>
      <c r="I29" s="123">
        <f>'Safety Summary'!D29</f>
        <v>464389.99227578938</v>
      </c>
      <c r="J29" s="233">
        <f t="shared" si="1"/>
        <v>11688027.941275788</v>
      </c>
      <c r="K29" s="213">
        <f t="shared" si="2"/>
        <v>11688027.941275788</v>
      </c>
      <c r="L29" s="4"/>
    </row>
    <row r="30" spans="2:12" ht="10.7" customHeight="1" x14ac:dyDescent="0.2">
      <c r="B30" s="115">
        <v>2036</v>
      </c>
      <c r="C30" s="116">
        <v>22</v>
      </c>
      <c r="D30" s="230">
        <f>'Construction Costs Summary'!D29</f>
        <v>0</v>
      </c>
      <c r="E30" s="123">
        <f>'Maintenance Costs Summary'!D29</f>
        <v>-81153</v>
      </c>
      <c r="F30" s="233">
        <f t="shared" si="0"/>
        <v>-81153</v>
      </c>
      <c r="G30" s="230">
        <f>'Lifecycle Cost Savings Summary'!F29</f>
        <v>-81153</v>
      </c>
      <c r="H30" s="123">
        <f>'Land Value - Existing Summary'!D29+'Land Value - New Summary'!D29</f>
        <v>0</v>
      </c>
      <c r="I30" s="123">
        <f>'Safety Summary'!D30</f>
        <v>464389.99227578938</v>
      </c>
      <c r="J30" s="233">
        <f t="shared" si="1"/>
        <v>383236.99227578938</v>
      </c>
      <c r="K30" s="213">
        <f t="shared" si="2"/>
        <v>302083.99227578938</v>
      </c>
      <c r="L30" s="4"/>
    </row>
    <row r="31" spans="2:12" ht="10.7" customHeight="1" x14ac:dyDescent="0.2">
      <c r="B31" s="115">
        <v>2037</v>
      </c>
      <c r="C31" s="116">
        <v>23</v>
      </c>
      <c r="D31" s="230">
        <f>'Construction Costs Summary'!D30</f>
        <v>0</v>
      </c>
      <c r="E31" s="123">
        <f>'Maintenance Costs Summary'!D30</f>
        <v>0</v>
      </c>
      <c r="F31" s="233">
        <f t="shared" si="0"/>
        <v>0</v>
      </c>
      <c r="G31" s="230">
        <f>'Lifecycle Cost Savings Summary'!F30</f>
        <v>12548.8</v>
      </c>
      <c r="H31" s="123">
        <f>'Land Value - Existing Summary'!D30+'Land Value - New Summary'!D30</f>
        <v>0</v>
      </c>
      <c r="I31" s="123">
        <f>'Safety Summary'!D31</f>
        <v>464389.99227578938</v>
      </c>
      <c r="J31" s="233">
        <f t="shared" si="1"/>
        <v>476938.79227578937</v>
      </c>
      <c r="K31" s="213">
        <f t="shared" si="2"/>
        <v>476938.79227578937</v>
      </c>
      <c r="L31" s="4"/>
    </row>
    <row r="32" spans="2:12" ht="10.7" customHeight="1" x14ac:dyDescent="0.2">
      <c r="B32" s="115">
        <v>2038</v>
      </c>
      <c r="C32" s="116">
        <v>24</v>
      </c>
      <c r="D32" s="230">
        <f>'Construction Costs Summary'!D31</f>
        <v>0</v>
      </c>
      <c r="E32" s="123">
        <f>'Maintenance Costs Summary'!D31</f>
        <v>0</v>
      </c>
      <c r="F32" s="233">
        <f t="shared" si="0"/>
        <v>0</v>
      </c>
      <c r="G32" s="230">
        <f>'Lifecycle Cost Savings Summary'!F31</f>
        <v>123901.2</v>
      </c>
      <c r="H32" s="123">
        <f>'Land Value - Existing Summary'!D31+'Land Value - New Summary'!D31</f>
        <v>0</v>
      </c>
      <c r="I32" s="123">
        <f>'Safety Summary'!D32</f>
        <v>464389.99227578938</v>
      </c>
      <c r="J32" s="233">
        <f t="shared" si="1"/>
        <v>588291.19227578933</v>
      </c>
      <c r="K32" s="213">
        <f t="shared" si="2"/>
        <v>588291.19227578933</v>
      </c>
      <c r="L32" s="4"/>
    </row>
    <row r="33" spans="2:12" ht="10.7" customHeight="1" x14ac:dyDescent="0.2">
      <c r="B33" s="115">
        <v>2039</v>
      </c>
      <c r="C33" s="116">
        <v>25</v>
      </c>
      <c r="D33" s="230">
        <f>'Construction Costs Summary'!D32</f>
        <v>0</v>
      </c>
      <c r="E33" s="123">
        <f>'Maintenance Costs Summary'!D32</f>
        <v>-81153</v>
      </c>
      <c r="F33" s="233">
        <f t="shared" si="0"/>
        <v>-81153</v>
      </c>
      <c r="G33" s="230">
        <f>'Lifecycle Cost Savings Summary'!F32</f>
        <v>283408.40000000002</v>
      </c>
      <c r="H33" s="123">
        <f>'Land Value - Existing Summary'!D32+'Land Value - New Summary'!D32</f>
        <v>0</v>
      </c>
      <c r="I33" s="123">
        <f>'Safety Summary'!D33</f>
        <v>464389.99227578938</v>
      </c>
      <c r="J33" s="233">
        <f t="shared" si="1"/>
        <v>747798.3922757894</v>
      </c>
      <c r="K33" s="213">
        <f t="shared" si="2"/>
        <v>666645.3922757894</v>
      </c>
      <c r="L33" s="4"/>
    </row>
    <row r="34" spans="2:12" ht="10.7" customHeight="1" x14ac:dyDescent="0.2">
      <c r="B34" s="115">
        <v>2040</v>
      </c>
      <c r="C34" s="116">
        <v>26</v>
      </c>
      <c r="D34" s="230">
        <f>'Construction Costs Summary'!D33</f>
        <v>0</v>
      </c>
      <c r="E34" s="123">
        <f>'Maintenance Costs Summary'!D33</f>
        <v>0</v>
      </c>
      <c r="F34" s="233">
        <f t="shared" si="0"/>
        <v>0</v>
      </c>
      <c r="G34" s="230">
        <f>'Lifecycle Cost Savings Summary'!F33</f>
        <v>1700222.9405</v>
      </c>
      <c r="H34" s="123">
        <f>'Land Value - Existing Summary'!D33+'Land Value - New Summary'!D33</f>
        <v>0</v>
      </c>
      <c r="I34" s="123">
        <f>'Safety Summary'!D34</f>
        <v>464389.99227578938</v>
      </c>
      <c r="J34" s="233">
        <f t="shared" si="1"/>
        <v>2164612.9327757894</v>
      </c>
      <c r="K34" s="213">
        <f t="shared" si="2"/>
        <v>2164612.9327757894</v>
      </c>
      <c r="L34" s="4"/>
    </row>
    <row r="35" spans="2:12" ht="10.7" customHeight="1" x14ac:dyDescent="0.2">
      <c r="B35" s="115">
        <v>2041</v>
      </c>
      <c r="C35" s="116">
        <v>27</v>
      </c>
      <c r="D35" s="230">
        <f>'Construction Costs Summary'!D34</f>
        <v>0</v>
      </c>
      <c r="E35" s="123">
        <f>'Maintenance Costs Summary'!D34</f>
        <v>0</v>
      </c>
      <c r="F35" s="233">
        <f t="shared" si="0"/>
        <v>0</v>
      </c>
      <c r="G35" s="230">
        <f>'Lifecycle Cost Savings Summary'!F34</f>
        <v>136450</v>
      </c>
      <c r="H35" s="123">
        <f>'Land Value - Existing Summary'!D34+'Land Value - New Summary'!D34</f>
        <v>0</v>
      </c>
      <c r="I35" s="123">
        <f>'Safety Summary'!D35</f>
        <v>464389.99227578938</v>
      </c>
      <c r="J35" s="233">
        <f t="shared" si="1"/>
        <v>600839.99227578938</v>
      </c>
      <c r="K35" s="213">
        <f t="shared" si="2"/>
        <v>600839.99227578938</v>
      </c>
      <c r="L35" s="4"/>
    </row>
    <row r="36" spans="2:12" ht="10.7" customHeight="1" x14ac:dyDescent="0.2">
      <c r="B36" s="115">
        <v>2042</v>
      </c>
      <c r="C36" s="116">
        <v>28</v>
      </c>
      <c r="D36" s="230">
        <f>'Construction Costs Summary'!D35</f>
        <v>0</v>
      </c>
      <c r="E36" s="123">
        <f>'Maintenance Costs Summary'!D35</f>
        <v>-81153</v>
      </c>
      <c r="F36" s="233">
        <f t="shared" si="0"/>
        <v>-81153</v>
      </c>
      <c r="G36" s="230">
        <f>'Lifecycle Cost Savings Summary'!F35</f>
        <v>-81153</v>
      </c>
      <c r="H36" s="123">
        <f>'Land Value - Existing Summary'!D35+'Land Value - New Summary'!D35</f>
        <v>0</v>
      </c>
      <c r="I36" s="123">
        <f>'Safety Summary'!D36</f>
        <v>464389.99227578938</v>
      </c>
      <c r="J36" s="233">
        <f t="shared" si="1"/>
        <v>383236.99227578938</v>
      </c>
      <c r="K36" s="213">
        <f t="shared" si="2"/>
        <v>302083.99227578938</v>
      </c>
      <c r="L36" s="4"/>
    </row>
    <row r="37" spans="2:12" ht="10.7" customHeight="1" x14ac:dyDescent="0.2">
      <c r="B37" s="115">
        <v>2043</v>
      </c>
      <c r="C37" s="116">
        <v>29</v>
      </c>
      <c r="D37" s="230">
        <f>'Construction Costs Summary'!D36</f>
        <v>0</v>
      </c>
      <c r="E37" s="123">
        <f>'Maintenance Costs Summary'!D36</f>
        <v>0</v>
      </c>
      <c r="F37" s="233">
        <f t="shared" si="0"/>
        <v>0</v>
      </c>
      <c r="G37" s="230">
        <f>'Lifecycle Cost Savings Summary'!F36</f>
        <v>12548.8</v>
      </c>
      <c r="H37" s="123">
        <f>'Land Value - Existing Summary'!D36+'Land Value - New Summary'!D36</f>
        <v>0</v>
      </c>
      <c r="I37" s="123">
        <f>'Safety Summary'!D37</f>
        <v>464389.99227578938</v>
      </c>
      <c r="J37" s="233">
        <f t="shared" si="1"/>
        <v>476938.79227578937</v>
      </c>
      <c r="K37" s="213">
        <f t="shared" si="2"/>
        <v>476938.79227578937</v>
      </c>
      <c r="L37" s="4"/>
    </row>
    <row r="38" spans="2:12" ht="10.7" customHeight="1" x14ac:dyDescent="0.2">
      <c r="B38" s="115">
        <v>2044</v>
      </c>
      <c r="C38" s="116">
        <v>30</v>
      </c>
      <c r="D38" s="230">
        <f>'Construction Costs Summary'!D37</f>
        <v>0</v>
      </c>
      <c r="E38" s="123">
        <f>'Maintenance Costs Summary'!D37</f>
        <v>0</v>
      </c>
      <c r="F38" s="233">
        <f t="shared" si="0"/>
        <v>0</v>
      </c>
      <c r="G38" s="230">
        <f>'Lifecycle Cost Savings Summary'!F37</f>
        <v>123901.2</v>
      </c>
      <c r="H38" s="123">
        <f>'Land Value - Existing Summary'!D37+'Land Value - New Summary'!D37</f>
        <v>0</v>
      </c>
      <c r="I38" s="123">
        <f>'Safety Summary'!D38</f>
        <v>464389.99227578938</v>
      </c>
      <c r="J38" s="233">
        <f t="shared" si="1"/>
        <v>588291.19227578933</v>
      </c>
      <c r="K38" s="213">
        <f t="shared" si="2"/>
        <v>588291.19227578933</v>
      </c>
      <c r="L38" s="4"/>
    </row>
    <row r="39" spans="2:12" ht="10.7" customHeight="1" x14ac:dyDescent="0.2">
      <c r="B39" s="117">
        <v>2045</v>
      </c>
      <c r="C39" s="118">
        <v>31</v>
      </c>
      <c r="D39" s="212">
        <f>'Construction Costs Summary'!D38</f>
        <v>0</v>
      </c>
      <c r="E39" s="124">
        <f>'Maintenance Costs Summary'!D38</f>
        <v>-1875505.6470000001</v>
      </c>
      <c r="F39" s="234">
        <f t="shared" si="0"/>
        <v>-1875505.6470000001</v>
      </c>
      <c r="G39" s="212">
        <f>'Lifecycle Cost Savings Summary'!F38</f>
        <v>-1521784.7720000001</v>
      </c>
      <c r="H39" s="124">
        <f>'Land Value - Existing Summary'!D38+'Land Value - New Summary'!D38</f>
        <v>0</v>
      </c>
      <c r="I39" s="124">
        <f>'Safety Summary'!D39</f>
        <v>464389.99227578938</v>
      </c>
      <c r="J39" s="234">
        <f t="shared" si="1"/>
        <v>-1057394.7797242107</v>
      </c>
      <c r="K39" s="214">
        <f t="shared" si="2"/>
        <v>-2932900.4267242108</v>
      </c>
      <c r="L39" s="4"/>
    </row>
    <row r="40" spans="2:12" ht="12" customHeight="1" x14ac:dyDescent="0.2">
      <c r="B40" s="119" t="s">
        <v>6</v>
      </c>
      <c r="C40" s="120" t="str">
        <f>"1-31"</f>
        <v>1-31</v>
      </c>
      <c r="D40" s="230">
        <f t="shared" ref="D40:K40" si="3">SUM(D8:D39)</f>
        <v>-24507855.860999998</v>
      </c>
      <c r="E40" s="123">
        <f t="shared" si="3"/>
        <v>-4400235.2939999998</v>
      </c>
      <c r="F40" s="233">
        <f t="shared" si="3"/>
        <v>-28908091.154999997</v>
      </c>
      <c r="G40" s="230">
        <f t="shared" si="3"/>
        <v>34481937.418499999</v>
      </c>
      <c r="H40" s="123">
        <f t="shared" si="3"/>
        <v>24778870.25</v>
      </c>
      <c r="I40" s="123">
        <f t="shared" si="3"/>
        <v>13467309.775997892</v>
      </c>
      <c r="J40" s="233">
        <f t="shared" si="3"/>
        <v>72728117.444497898</v>
      </c>
      <c r="K40" s="213">
        <f t="shared" si="3"/>
        <v>43820026.28949789</v>
      </c>
      <c r="L40" s="40"/>
    </row>
    <row r="41" spans="2:12" ht="2.1" customHeight="1" x14ac:dyDescent="0.2">
      <c r="B41" s="121"/>
      <c r="C41" s="122"/>
      <c r="D41" s="230"/>
      <c r="E41" s="123"/>
      <c r="F41" s="233"/>
      <c r="G41" s="230"/>
      <c r="H41" s="123"/>
      <c r="I41" s="123"/>
      <c r="J41" s="233"/>
      <c r="K41" s="213"/>
    </row>
    <row r="42" spans="2:12" ht="12" customHeight="1" x14ac:dyDescent="0.2">
      <c r="B42" s="534" t="s">
        <v>133</v>
      </c>
      <c r="C42" s="535"/>
      <c r="D42" s="230">
        <f t="shared" ref="D42:K42" si="4">NPV(0.03,D9:D39)+D8</f>
        <v>-23562416.575226493</v>
      </c>
      <c r="E42" s="123">
        <f t="shared" si="4"/>
        <v>-2335528.9439679855</v>
      </c>
      <c r="F42" s="233">
        <f t="shared" si="4"/>
        <v>-25897945.519194476</v>
      </c>
      <c r="G42" s="230">
        <f t="shared" si="4"/>
        <v>25959498.352809668</v>
      </c>
      <c r="H42" s="123">
        <f t="shared" si="4"/>
        <v>22676176.437481642</v>
      </c>
      <c r="I42" s="123">
        <f t="shared" si="4"/>
        <v>8399402.6570016127</v>
      </c>
      <c r="J42" s="233">
        <f t="shared" si="4"/>
        <v>57035077.447292931</v>
      </c>
      <c r="K42" s="213">
        <f t="shared" si="4"/>
        <v>31137131.92809844</v>
      </c>
    </row>
    <row r="43" spans="2:12" ht="12" customHeight="1" thickBot="1" x14ac:dyDescent="0.25">
      <c r="B43" s="536" t="s">
        <v>134</v>
      </c>
      <c r="C43" s="537"/>
      <c r="D43" s="231">
        <f t="shared" ref="D43:K43" si="5">NPV(0.07,D9:D39)+D8</f>
        <v>-22409423.730088379</v>
      </c>
      <c r="E43" s="215">
        <f t="shared" si="5"/>
        <v>-1120853.7887235612</v>
      </c>
      <c r="F43" s="235">
        <f t="shared" si="5"/>
        <v>-23530277.518811945</v>
      </c>
      <c r="G43" s="231">
        <f t="shared" si="5"/>
        <v>19116659.053963937</v>
      </c>
      <c r="H43" s="215">
        <f t="shared" si="5"/>
        <v>20226939.176828895</v>
      </c>
      <c r="I43" s="215">
        <f t="shared" si="5"/>
        <v>4980023.5521333925</v>
      </c>
      <c r="J43" s="235">
        <f t="shared" si="5"/>
        <v>44323621.782926239</v>
      </c>
      <c r="K43" s="216">
        <f t="shared" si="5"/>
        <v>20793344.26411429</v>
      </c>
    </row>
    <row r="44" spans="2:12" ht="12.75" customHeight="1" x14ac:dyDescent="0.2"/>
    <row r="45" spans="2:12" ht="12.75" customHeight="1" x14ac:dyDescent="0.2"/>
    <row r="46" spans="2:12" ht="12.75" customHeight="1" x14ac:dyDescent="0.2"/>
    <row r="47" spans="2:12" ht="12.75" customHeight="1" x14ac:dyDescent="0.2"/>
    <row r="48" spans="2:12" ht="12.75" customHeight="1" x14ac:dyDescent="0.2"/>
    <row r="49" ht="12.75" customHeight="1" x14ac:dyDescent="0.2"/>
    <row r="50" s="5" customFormat="1" ht="12.75" customHeight="1" x14ac:dyDescent="0.2"/>
    <row r="51" s="5" customFormat="1" ht="12.75" customHeight="1" x14ac:dyDescent="0.2"/>
    <row r="52" s="5" customFormat="1" ht="12.75" customHeight="1" x14ac:dyDescent="0.2"/>
    <row r="53" s="5" customFormat="1" ht="12.75" customHeight="1" x14ac:dyDescent="0.2"/>
    <row r="54" s="5" customFormat="1" ht="12.75" customHeight="1" x14ac:dyDescent="0.2"/>
    <row r="55" s="5" customFormat="1" ht="12.75" customHeight="1" x14ac:dyDescent="0.2"/>
    <row r="56" s="5" customFormat="1" ht="12.75" customHeight="1" x14ac:dyDescent="0.2"/>
    <row r="57" s="5" customFormat="1" ht="12.75" customHeight="1" x14ac:dyDescent="0.2"/>
    <row r="58" s="5" customFormat="1" ht="12.75" customHeight="1" x14ac:dyDescent="0.2"/>
    <row r="59" s="5" customFormat="1" ht="12.75" customHeight="1" x14ac:dyDescent="0.2"/>
    <row r="60" s="5" customFormat="1" ht="12.75" customHeight="1" x14ac:dyDescent="0.2"/>
    <row r="61" s="8" customFormat="1" ht="12.75" customHeight="1" x14ac:dyDescent="0.2"/>
    <row r="62" s="8" customFormat="1" ht="12.75" customHeight="1" x14ac:dyDescent="0.2"/>
    <row r="63" s="8" customFormat="1" ht="12.75" customHeight="1" x14ac:dyDescent="0.2"/>
    <row r="64" s="5" customFormat="1" x14ac:dyDescent="0.2"/>
    <row r="73" ht="26.25" customHeight="1" x14ac:dyDescent="0.2"/>
  </sheetData>
  <mergeCells count="4">
    <mergeCell ref="D6:F6"/>
    <mergeCell ref="B42:C42"/>
    <mergeCell ref="B43:C43"/>
    <mergeCell ref="G6:J6"/>
  </mergeCells>
  <pageMargins left="0.25" right="0.25" top="0.75" bottom="0.75" header="0.3" footer="0.3"/>
  <pageSetup scale="90" firstPageNumber="15"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D18"/>
  <sheetViews>
    <sheetView showGridLines="0" view="pageBreakPreview" zoomScale="130" zoomScaleNormal="100" zoomScaleSheetLayoutView="130" workbookViewId="0"/>
  </sheetViews>
  <sheetFormatPr defaultColWidth="8.85546875" defaultRowHeight="15" x14ac:dyDescent="0.25"/>
  <cols>
    <col min="2" max="2" width="12.7109375" style="76" customWidth="1"/>
    <col min="3" max="3" width="20.7109375" style="76" customWidth="1"/>
    <col min="4" max="4" width="24.7109375" style="76" customWidth="1"/>
  </cols>
  <sheetData>
    <row r="2" spans="1:4" x14ac:dyDescent="0.25">
      <c r="B2" s="2" t="s">
        <v>13</v>
      </c>
    </row>
    <row r="3" spans="1:4" x14ac:dyDescent="0.25">
      <c r="B3" s="76" t="s">
        <v>191</v>
      </c>
    </row>
    <row r="4" spans="1:4" ht="15" customHeight="1" x14ac:dyDescent="0.25">
      <c r="B4" s="236" t="s">
        <v>52</v>
      </c>
    </row>
    <row r="5" spans="1:4" ht="5.0999999999999996" customHeight="1" thickBot="1" x14ac:dyDescent="0.3">
      <c r="B5" s="62"/>
      <c r="C5" s="62"/>
    </row>
    <row r="6" spans="1:4" s="196" customFormat="1" ht="30" customHeight="1" thickBot="1" x14ac:dyDescent="0.25">
      <c r="B6" s="197" t="s">
        <v>159</v>
      </c>
      <c r="C6" s="59" t="s">
        <v>53</v>
      </c>
      <c r="D6" s="59" t="s">
        <v>54</v>
      </c>
    </row>
    <row r="7" spans="1:4" ht="15" customHeight="1" x14ac:dyDescent="0.25">
      <c r="B7" s="190" t="s">
        <v>160</v>
      </c>
      <c r="C7" s="192">
        <f>'Project Costs by Quarter'!C7</f>
        <v>2321062</v>
      </c>
      <c r="D7" s="194">
        <f>C7/76923</f>
        <v>30.173836173836175</v>
      </c>
    </row>
    <row r="8" spans="1:4" ht="15" customHeight="1" x14ac:dyDescent="0.25">
      <c r="B8" s="190" t="s">
        <v>161</v>
      </c>
      <c r="C8" s="192">
        <f>'Project Costs by Quarter'!C8</f>
        <v>1290255</v>
      </c>
      <c r="D8" s="194">
        <f t="shared" ref="D8:D15" si="0">C8/76923</f>
        <v>16.773331773331773</v>
      </c>
    </row>
    <row r="9" spans="1:4" ht="15" customHeight="1" x14ac:dyDescent="0.25">
      <c r="B9" s="190" t="s">
        <v>162</v>
      </c>
      <c r="C9" s="192">
        <f>'Project Costs by Quarter'!C9</f>
        <v>5161019</v>
      </c>
      <c r="D9" s="194">
        <f t="shared" si="0"/>
        <v>67.093314093314092</v>
      </c>
    </row>
    <row r="10" spans="1:4" ht="15" customHeight="1" x14ac:dyDescent="0.25">
      <c r="B10" s="190" t="s">
        <v>163</v>
      </c>
      <c r="C10" s="192">
        <f>'Project Costs by Quarter'!C10</f>
        <v>5161019</v>
      </c>
      <c r="D10" s="194">
        <f t="shared" si="0"/>
        <v>67.093314093314092</v>
      </c>
    </row>
    <row r="11" spans="1:4" ht="15" customHeight="1" x14ac:dyDescent="0.25">
      <c r="B11" s="190" t="s">
        <v>164</v>
      </c>
      <c r="C11" s="192">
        <f>'Project Costs by Quarter'!C11</f>
        <v>1290255</v>
      </c>
      <c r="D11" s="194">
        <f t="shared" si="0"/>
        <v>16.773331773331773</v>
      </c>
    </row>
    <row r="12" spans="1:4" ht="15" customHeight="1" x14ac:dyDescent="0.25">
      <c r="B12" s="190" t="s">
        <v>165</v>
      </c>
      <c r="C12" s="192">
        <f>'Project Costs by Quarter'!C12</f>
        <v>464212</v>
      </c>
      <c r="D12" s="194">
        <f t="shared" si="0"/>
        <v>6.0347620347620348</v>
      </c>
    </row>
    <row r="13" spans="1:4" ht="15" customHeight="1" x14ac:dyDescent="0.25">
      <c r="B13" s="190" t="s">
        <v>166</v>
      </c>
      <c r="C13" s="192">
        <f>'Project Costs by Quarter'!C13</f>
        <v>4177911</v>
      </c>
      <c r="D13" s="194">
        <f t="shared" si="0"/>
        <v>54.312897312897313</v>
      </c>
    </row>
    <row r="14" spans="1:4" ht="15" customHeight="1" x14ac:dyDescent="0.25">
      <c r="B14" s="190" t="s">
        <v>167</v>
      </c>
      <c r="C14" s="192">
        <f>'Project Costs by Quarter'!C14</f>
        <v>4177911</v>
      </c>
      <c r="D14" s="194">
        <f t="shared" si="0"/>
        <v>54.312897312897313</v>
      </c>
    </row>
    <row r="15" spans="1:4" ht="15" customHeight="1" x14ac:dyDescent="0.25">
      <c r="B15" s="191" t="s">
        <v>168</v>
      </c>
      <c r="C15" s="193">
        <f>'Project Costs by Quarter'!C15</f>
        <v>464212</v>
      </c>
      <c r="D15" s="195">
        <f t="shared" si="0"/>
        <v>6.0347620347620348</v>
      </c>
    </row>
    <row r="16" spans="1:4" ht="15.75" thickBot="1" x14ac:dyDescent="0.3">
      <c r="A16" s="1"/>
      <c r="B16" s="198" t="s">
        <v>6</v>
      </c>
      <c r="C16" s="199">
        <f>'Project Costs by Quarter'!C16</f>
        <v>24507856</v>
      </c>
      <c r="D16" s="200">
        <f>SUM(D7:D15)</f>
        <v>318.60244660244655</v>
      </c>
    </row>
    <row r="17" spans="1:4" ht="30" customHeight="1" x14ac:dyDescent="0.25">
      <c r="A17" s="1"/>
      <c r="B17" s="541" t="s">
        <v>55</v>
      </c>
      <c r="C17" s="541"/>
      <c r="D17" s="541"/>
    </row>
    <row r="18" spans="1:4" x14ac:dyDescent="0.25">
      <c r="A18" s="1"/>
      <c r="B18" s="13"/>
      <c r="C18" s="13"/>
      <c r="D18" s="13"/>
    </row>
  </sheetData>
  <mergeCells count="1">
    <mergeCell ref="B17:D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E73"/>
  <sheetViews>
    <sheetView showGridLines="0" view="pageBreakPreview" zoomScaleSheetLayoutView="100" workbookViewId="0"/>
  </sheetViews>
  <sheetFormatPr defaultColWidth="8.85546875" defaultRowHeight="12.75" x14ac:dyDescent="0.2"/>
  <cols>
    <col min="1" max="1" width="8.85546875" style="6"/>
    <col min="2" max="2" width="6.7109375" style="6" customWidth="1"/>
    <col min="3" max="3" width="9.7109375" style="6" customWidth="1"/>
    <col min="4" max="4" width="14.7109375" style="6" customWidth="1"/>
    <col min="5" max="5" width="15.7109375" style="6" customWidth="1"/>
    <col min="6" max="207" width="8.85546875" style="6"/>
    <col min="208" max="208" width="37.42578125" style="6" customWidth="1"/>
    <col min="209" max="211" width="0" style="6" hidden="1" customWidth="1"/>
    <col min="212" max="212" width="15.42578125" style="6" bestFit="1" customWidth="1"/>
    <col min="213" max="213" width="16.140625" style="6" customWidth="1"/>
    <col min="214" max="214" width="14.42578125" style="6" customWidth="1"/>
    <col min="215" max="215" width="13" style="6" customWidth="1"/>
    <col min="216" max="241" width="12.7109375" style="6" customWidth="1"/>
    <col min="242" max="463" width="8.85546875" style="6"/>
    <col min="464" max="464" width="37.42578125" style="6" customWidth="1"/>
    <col min="465" max="467" width="0" style="6" hidden="1" customWidth="1"/>
    <col min="468" max="468" width="15.42578125" style="6" bestFit="1" customWidth="1"/>
    <col min="469" max="469" width="16.140625" style="6" customWidth="1"/>
    <col min="470" max="470" width="14.42578125" style="6" customWidth="1"/>
    <col min="471" max="471" width="13" style="6" customWidth="1"/>
    <col min="472" max="497" width="12.7109375" style="6" customWidth="1"/>
    <col min="498" max="719" width="8.85546875" style="6"/>
    <col min="720" max="720" width="37.42578125" style="6" customWidth="1"/>
    <col min="721" max="723" width="0" style="6" hidden="1" customWidth="1"/>
    <col min="724" max="724" width="15.42578125" style="6" bestFit="1" customWidth="1"/>
    <col min="725" max="725" width="16.140625" style="6" customWidth="1"/>
    <col min="726" max="726" width="14.42578125" style="6" customWidth="1"/>
    <col min="727" max="727" width="13" style="6" customWidth="1"/>
    <col min="728" max="753" width="12.7109375" style="6" customWidth="1"/>
    <col min="754" max="975" width="8.85546875" style="6"/>
    <col min="976" max="976" width="37.42578125" style="6" customWidth="1"/>
    <col min="977" max="979" width="0" style="6" hidden="1" customWidth="1"/>
    <col min="980" max="980" width="15.42578125" style="6" bestFit="1" customWidth="1"/>
    <col min="981" max="981" width="16.140625" style="6" customWidth="1"/>
    <col min="982" max="982" width="14.42578125" style="6" customWidth="1"/>
    <col min="983" max="983" width="13" style="6" customWidth="1"/>
    <col min="984" max="1009" width="12.7109375" style="6" customWidth="1"/>
    <col min="1010" max="1231" width="8.85546875" style="6"/>
    <col min="1232" max="1232" width="37.42578125" style="6" customWidth="1"/>
    <col min="1233" max="1235" width="0" style="6" hidden="1" customWidth="1"/>
    <col min="1236" max="1236" width="15.42578125" style="6" bestFit="1" customWidth="1"/>
    <col min="1237" max="1237" width="16.140625" style="6" customWidth="1"/>
    <col min="1238" max="1238" width="14.42578125" style="6" customWidth="1"/>
    <col min="1239" max="1239" width="13" style="6" customWidth="1"/>
    <col min="1240" max="1265" width="12.7109375" style="6" customWidth="1"/>
    <col min="1266" max="1487" width="8.85546875" style="6"/>
    <col min="1488" max="1488" width="37.42578125" style="6" customWidth="1"/>
    <col min="1489" max="1491" width="0" style="6" hidden="1" customWidth="1"/>
    <col min="1492" max="1492" width="15.42578125" style="6" bestFit="1" customWidth="1"/>
    <col min="1493" max="1493" width="16.140625" style="6" customWidth="1"/>
    <col min="1494" max="1494" width="14.42578125" style="6" customWidth="1"/>
    <col min="1495" max="1495" width="13" style="6" customWidth="1"/>
    <col min="1496" max="1521" width="12.7109375" style="6" customWidth="1"/>
    <col min="1522" max="1743" width="8.85546875" style="6"/>
    <col min="1744" max="1744" width="37.42578125" style="6" customWidth="1"/>
    <col min="1745" max="1747" width="0" style="6" hidden="1" customWidth="1"/>
    <col min="1748" max="1748" width="15.42578125" style="6" bestFit="1" customWidth="1"/>
    <col min="1749" max="1749" width="16.140625" style="6" customWidth="1"/>
    <col min="1750" max="1750" width="14.42578125" style="6" customWidth="1"/>
    <col min="1751" max="1751" width="13" style="6" customWidth="1"/>
    <col min="1752" max="1777" width="12.7109375" style="6" customWidth="1"/>
    <col min="1778" max="1999" width="8.85546875" style="6"/>
    <col min="2000" max="2000" width="37.42578125" style="6" customWidth="1"/>
    <col min="2001" max="2003" width="0" style="6" hidden="1" customWidth="1"/>
    <col min="2004" max="2004" width="15.42578125" style="6" bestFit="1" customWidth="1"/>
    <col min="2005" max="2005" width="16.140625" style="6" customWidth="1"/>
    <col min="2006" max="2006" width="14.42578125" style="6" customWidth="1"/>
    <col min="2007" max="2007" width="13" style="6" customWidth="1"/>
    <col min="2008" max="2033" width="12.7109375" style="6" customWidth="1"/>
    <col min="2034" max="2255" width="8.85546875" style="6"/>
    <col min="2256" max="2256" width="37.42578125" style="6" customWidth="1"/>
    <col min="2257" max="2259" width="0" style="6" hidden="1" customWidth="1"/>
    <col min="2260" max="2260" width="15.42578125" style="6" bestFit="1" customWidth="1"/>
    <col min="2261" max="2261" width="16.140625" style="6" customWidth="1"/>
    <col min="2262" max="2262" width="14.42578125" style="6" customWidth="1"/>
    <col min="2263" max="2263" width="13" style="6" customWidth="1"/>
    <col min="2264" max="2289" width="12.7109375" style="6" customWidth="1"/>
    <col min="2290" max="2511" width="8.85546875" style="6"/>
    <col min="2512" max="2512" width="37.42578125" style="6" customWidth="1"/>
    <col min="2513" max="2515" width="0" style="6" hidden="1" customWidth="1"/>
    <col min="2516" max="2516" width="15.42578125" style="6" bestFit="1" customWidth="1"/>
    <col min="2517" max="2517" width="16.140625" style="6" customWidth="1"/>
    <col min="2518" max="2518" width="14.42578125" style="6" customWidth="1"/>
    <col min="2519" max="2519" width="13" style="6" customWidth="1"/>
    <col min="2520" max="2545" width="12.7109375" style="6" customWidth="1"/>
    <col min="2546" max="2767" width="8.85546875" style="6"/>
    <col min="2768" max="2768" width="37.42578125" style="6" customWidth="1"/>
    <col min="2769" max="2771" width="0" style="6" hidden="1" customWidth="1"/>
    <col min="2772" max="2772" width="15.42578125" style="6" bestFit="1" customWidth="1"/>
    <col min="2773" max="2773" width="16.140625" style="6" customWidth="1"/>
    <col min="2774" max="2774" width="14.42578125" style="6" customWidth="1"/>
    <col min="2775" max="2775" width="13" style="6" customWidth="1"/>
    <col min="2776" max="2801" width="12.7109375" style="6" customWidth="1"/>
    <col min="2802" max="3023" width="8.85546875" style="6"/>
    <col min="3024" max="3024" width="37.42578125" style="6" customWidth="1"/>
    <col min="3025" max="3027" width="0" style="6" hidden="1" customWidth="1"/>
    <col min="3028" max="3028" width="15.42578125" style="6" bestFit="1" customWidth="1"/>
    <col min="3029" max="3029" width="16.140625" style="6" customWidth="1"/>
    <col min="3030" max="3030" width="14.42578125" style="6" customWidth="1"/>
    <col min="3031" max="3031" width="13" style="6" customWidth="1"/>
    <col min="3032" max="3057" width="12.7109375" style="6" customWidth="1"/>
    <col min="3058" max="3279" width="8.85546875" style="6"/>
    <col min="3280" max="3280" width="37.42578125" style="6" customWidth="1"/>
    <col min="3281" max="3283" width="0" style="6" hidden="1" customWidth="1"/>
    <col min="3284" max="3284" width="15.42578125" style="6" bestFit="1" customWidth="1"/>
    <col min="3285" max="3285" width="16.140625" style="6" customWidth="1"/>
    <col min="3286" max="3286" width="14.42578125" style="6" customWidth="1"/>
    <col min="3287" max="3287" width="13" style="6" customWidth="1"/>
    <col min="3288" max="3313" width="12.7109375" style="6" customWidth="1"/>
    <col min="3314" max="3535" width="8.85546875" style="6"/>
    <col min="3536" max="3536" width="37.42578125" style="6" customWidth="1"/>
    <col min="3537" max="3539" width="0" style="6" hidden="1" customWidth="1"/>
    <col min="3540" max="3540" width="15.42578125" style="6" bestFit="1" customWidth="1"/>
    <col min="3541" max="3541" width="16.140625" style="6" customWidth="1"/>
    <col min="3542" max="3542" width="14.42578125" style="6" customWidth="1"/>
    <col min="3543" max="3543" width="13" style="6" customWidth="1"/>
    <col min="3544" max="3569" width="12.7109375" style="6" customWidth="1"/>
    <col min="3570" max="3791" width="8.85546875" style="6"/>
    <col min="3792" max="3792" width="37.42578125" style="6" customWidth="1"/>
    <col min="3793" max="3795" width="0" style="6" hidden="1" customWidth="1"/>
    <col min="3796" max="3796" width="15.42578125" style="6" bestFit="1" customWidth="1"/>
    <col min="3797" max="3797" width="16.140625" style="6" customWidth="1"/>
    <col min="3798" max="3798" width="14.42578125" style="6" customWidth="1"/>
    <col min="3799" max="3799" width="13" style="6" customWidth="1"/>
    <col min="3800" max="3825" width="12.7109375" style="6" customWidth="1"/>
    <col min="3826" max="4047" width="8.85546875" style="6"/>
    <col min="4048" max="4048" width="37.42578125" style="6" customWidth="1"/>
    <col min="4049" max="4051" width="0" style="6" hidden="1" customWidth="1"/>
    <col min="4052" max="4052" width="15.42578125" style="6" bestFit="1" customWidth="1"/>
    <col min="4053" max="4053" width="16.140625" style="6" customWidth="1"/>
    <col min="4054" max="4054" width="14.42578125" style="6" customWidth="1"/>
    <col min="4055" max="4055" width="13" style="6" customWidth="1"/>
    <col min="4056" max="4081" width="12.7109375" style="6" customWidth="1"/>
    <col min="4082" max="4303" width="8.85546875" style="6"/>
    <col min="4304" max="4304" width="37.42578125" style="6" customWidth="1"/>
    <col min="4305" max="4307" width="0" style="6" hidden="1" customWidth="1"/>
    <col min="4308" max="4308" width="15.42578125" style="6" bestFit="1" customWidth="1"/>
    <col min="4309" max="4309" width="16.140625" style="6" customWidth="1"/>
    <col min="4310" max="4310" width="14.42578125" style="6" customWidth="1"/>
    <col min="4311" max="4311" width="13" style="6" customWidth="1"/>
    <col min="4312" max="4337" width="12.7109375" style="6" customWidth="1"/>
    <col min="4338" max="4559" width="8.85546875" style="6"/>
    <col min="4560" max="4560" width="37.42578125" style="6" customWidth="1"/>
    <col min="4561" max="4563" width="0" style="6" hidden="1" customWidth="1"/>
    <col min="4564" max="4564" width="15.42578125" style="6" bestFit="1" customWidth="1"/>
    <col min="4565" max="4565" width="16.140625" style="6" customWidth="1"/>
    <col min="4566" max="4566" width="14.42578125" style="6" customWidth="1"/>
    <col min="4567" max="4567" width="13" style="6" customWidth="1"/>
    <col min="4568" max="4593" width="12.7109375" style="6" customWidth="1"/>
    <col min="4594" max="4815" width="8.85546875" style="6"/>
    <col min="4816" max="4816" width="37.42578125" style="6" customWidth="1"/>
    <col min="4817" max="4819" width="0" style="6" hidden="1" customWidth="1"/>
    <col min="4820" max="4820" width="15.42578125" style="6" bestFit="1" customWidth="1"/>
    <col min="4821" max="4821" width="16.140625" style="6" customWidth="1"/>
    <col min="4822" max="4822" width="14.42578125" style="6" customWidth="1"/>
    <col min="4823" max="4823" width="13" style="6" customWidth="1"/>
    <col min="4824" max="4849" width="12.7109375" style="6" customWidth="1"/>
    <col min="4850" max="5071" width="8.85546875" style="6"/>
    <col min="5072" max="5072" width="37.42578125" style="6" customWidth="1"/>
    <col min="5073" max="5075" width="0" style="6" hidden="1" customWidth="1"/>
    <col min="5076" max="5076" width="15.42578125" style="6" bestFit="1" customWidth="1"/>
    <col min="5077" max="5077" width="16.140625" style="6" customWidth="1"/>
    <col min="5078" max="5078" width="14.42578125" style="6" customWidth="1"/>
    <col min="5079" max="5079" width="13" style="6" customWidth="1"/>
    <col min="5080" max="5105" width="12.7109375" style="6" customWidth="1"/>
    <col min="5106" max="5327" width="8.85546875" style="6"/>
    <col min="5328" max="5328" width="37.42578125" style="6" customWidth="1"/>
    <col min="5329" max="5331" width="0" style="6" hidden="1" customWidth="1"/>
    <col min="5332" max="5332" width="15.42578125" style="6" bestFit="1" customWidth="1"/>
    <col min="5333" max="5333" width="16.140625" style="6" customWidth="1"/>
    <col min="5334" max="5334" width="14.42578125" style="6" customWidth="1"/>
    <col min="5335" max="5335" width="13" style="6" customWidth="1"/>
    <col min="5336" max="5361" width="12.7109375" style="6" customWidth="1"/>
    <col min="5362" max="5583" width="8.85546875" style="6"/>
    <col min="5584" max="5584" width="37.42578125" style="6" customWidth="1"/>
    <col min="5585" max="5587" width="0" style="6" hidden="1" customWidth="1"/>
    <col min="5588" max="5588" width="15.42578125" style="6" bestFit="1" customWidth="1"/>
    <col min="5589" max="5589" width="16.140625" style="6" customWidth="1"/>
    <col min="5590" max="5590" width="14.42578125" style="6" customWidth="1"/>
    <col min="5591" max="5591" width="13" style="6" customWidth="1"/>
    <col min="5592" max="5617" width="12.7109375" style="6" customWidth="1"/>
    <col min="5618" max="5839" width="8.85546875" style="6"/>
    <col min="5840" max="5840" width="37.42578125" style="6" customWidth="1"/>
    <col min="5841" max="5843" width="0" style="6" hidden="1" customWidth="1"/>
    <col min="5844" max="5844" width="15.42578125" style="6" bestFit="1" customWidth="1"/>
    <col min="5845" max="5845" width="16.140625" style="6" customWidth="1"/>
    <col min="5846" max="5846" width="14.42578125" style="6" customWidth="1"/>
    <col min="5847" max="5847" width="13" style="6" customWidth="1"/>
    <col min="5848" max="5873" width="12.7109375" style="6" customWidth="1"/>
    <col min="5874" max="6095" width="8.85546875" style="6"/>
    <col min="6096" max="6096" width="37.42578125" style="6" customWidth="1"/>
    <col min="6097" max="6099" width="0" style="6" hidden="1" customWidth="1"/>
    <col min="6100" max="6100" width="15.42578125" style="6" bestFit="1" customWidth="1"/>
    <col min="6101" max="6101" width="16.140625" style="6" customWidth="1"/>
    <col min="6102" max="6102" width="14.42578125" style="6" customWidth="1"/>
    <col min="6103" max="6103" width="13" style="6" customWidth="1"/>
    <col min="6104" max="6129" width="12.7109375" style="6" customWidth="1"/>
    <col min="6130" max="6351" width="8.85546875" style="6"/>
    <col min="6352" max="6352" width="37.42578125" style="6" customWidth="1"/>
    <col min="6353" max="6355" width="0" style="6" hidden="1" customWidth="1"/>
    <col min="6356" max="6356" width="15.42578125" style="6" bestFit="1" customWidth="1"/>
    <col min="6357" max="6357" width="16.140625" style="6" customWidth="1"/>
    <col min="6358" max="6358" width="14.42578125" style="6" customWidth="1"/>
    <col min="6359" max="6359" width="13" style="6" customWidth="1"/>
    <col min="6360" max="6385" width="12.7109375" style="6" customWidth="1"/>
    <col min="6386" max="6607" width="8.85546875" style="6"/>
    <col min="6608" max="6608" width="37.42578125" style="6" customWidth="1"/>
    <col min="6609" max="6611" width="0" style="6" hidden="1" customWidth="1"/>
    <col min="6612" max="6612" width="15.42578125" style="6" bestFit="1" customWidth="1"/>
    <col min="6613" max="6613" width="16.140625" style="6" customWidth="1"/>
    <col min="6614" max="6614" width="14.42578125" style="6" customWidth="1"/>
    <col min="6615" max="6615" width="13" style="6" customWidth="1"/>
    <col min="6616" max="6641" width="12.7109375" style="6" customWidth="1"/>
    <col min="6642" max="6863" width="8.85546875" style="6"/>
    <col min="6864" max="6864" width="37.42578125" style="6" customWidth="1"/>
    <col min="6865" max="6867" width="0" style="6" hidden="1" customWidth="1"/>
    <col min="6868" max="6868" width="15.42578125" style="6" bestFit="1" customWidth="1"/>
    <col min="6869" max="6869" width="16.140625" style="6" customWidth="1"/>
    <col min="6870" max="6870" width="14.42578125" style="6" customWidth="1"/>
    <col min="6871" max="6871" width="13" style="6" customWidth="1"/>
    <col min="6872" max="6897" width="12.7109375" style="6" customWidth="1"/>
    <col min="6898" max="7119" width="8.85546875" style="6"/>
    <col min="7120" max="7120" width="37.42578125" style="6" customWidth="1"/>
    <col min="7121" max="7123" width="0" style="6" hidden="1" customWidth="1"/>
    <col min="7124" max="7124" width="15.42578125" style="6" bestFit="1" customWidth="1"/>
    <col min="7125" max="7125" width="16.140625" style="6" customWidth="1"/>
    <col min="7126" max="7126" width="14.42578125" style="6" customWidth="1"/>
    <col min="7127" max="7127" width="13" style="6" customWidth="1"/>
    <col min="7128" max="7153" width="12.7109375" style="6" customWidth="1"/>
    <col min="7154" max="7375" width="8.85546875" style="6"/>
    <col min="7376" max="7376" width="37.42578125" style="6" customWidth="1"/>
    <col min="7377" max="7379" width="0" style="6" hidden="1" customWidth="1"/>
    <col min="7380" max="7380" width="15.42578125" style="6" bestFit="1" customWidth="1"/>
    <col min="7381" max="7381" width="16.140625" style="6" customWidth="1"/>
    <col min="7382" max="7382" width="14.42578125" style="6" customWidth="1"/>
    <col min="7383" max="7383" width="13" style="6" customWidth="1"/>
    <col min="7384" max="7409" width="12.7109375" style="6" customWidth="1"/>
    <col min="7410" max="7631" width="8.85546875" style="6"/>
    <col min="7632" max="7632" width="37.42578125" style="6" customWidth="1"/>
    <col min="7633" max="7635" width="0" style="6" hidden="1" customWidth="1"/>
    <col min="7636" max="7636" width="15.42578125" style="6" bestFit="1" customWidth="1"/>
    <col min="7637" max="7637" width="16.140625" style="6" customWidth="1"/>
    <col min="7638" max="7638" width="14.42578125" style="6" customWidth="1"/>
    <col min="7639" max="7639" width="13" style="6" customWidth="1"/>
    <col min="7640" max="7665" width="12.7109375" style="6" customWidth="1"/>
    <col min="7666" max="7887" width="8.85546875" style="6"/>
    <col min="7888" max="7888" width="37.42578125" style="6" customWidth="1"/>
    <col min="7889" max="7891" width="0" style="6" hidden="1" customWidth="1"/>
    <col min="7892" max="7892" width="15.42578125" style="6" bestFit="1" customWidth="1"/>
    <col min="7893" max="7893" width="16.140625" style="6" customWidth="1"/>
    <col min="7894" max="7894" width="14.42578125" style="6" customWidth="1"/>
    <col min="7895" max="7895" width="13" style="6" customWidth="1"/>
    <col min="7896" max="7921" width="12.7109375" style="6" customWidth="1"/>
    <col min="7922" max="8143" width="8.85546875" style="6"/>
    <col min="8144" max="8144" width="37.42578125" style="6" customWidth="1"/>
    <col min="8145" max="8147" width="0" style="6" hidden="1" customWidth="1"/>
    <col min="8148" max="8148" width="15.42578125" style="6" bestFit="1" customWidth="1"/>
    <col min="8149" max="8149" width="16.140625" style="6" customWidth="1"/>
    <col min="8150" max="8150" width="14.42578125" style="6" customWidth="1"/>
    <col min="8151" max="8151" width="13" style="6" customWidth="1"/>
    <col min="8152" max="8177" width="12.7109375" style="6" customWidth="1"/>
    <col min="8178" max="8399" width="8.85546875" style="6"/>
    <col min="8400" max="8400" width="37.42578125" style="6" customWidth="1"/>
    <col min="8401" max="8403" width="0" style="6" hidden="1" customWidth="1"/>
    <col min="8404" max="8404" width="15.42578125" style="6" bestFit="1" customWidth="1"/>
    <col min="8405" max="8405" width="16.140625" style="6" customWidth="1"/>
    <col min="8406" max="8406" width="14.42578125" style="6" customWidth="1"/>
    <col min="8407" max="8407" width="13" style="6" customWidth="1"/>
    <col min="8408" max="8433" width="12.7109375" style="6" customWidth="1"/>
    <col min="8434" max="8655" width="8.85546875" style="6"/>
    <col min="8656" max="8656" width="37.42578125" style="6" customWidth="1"/>
    <col min="8657" max="8659" width="0" style="6" hidden="1" customWidth="1"/>
    <col min="8660" max="8660" width="15.42578125" style="6" bestFit="1" customWidth="1"/>
    <col min="8661" max="8661" width="16.140625" style="6" customWidth="1"/>
    <col min="8662" max="8662" width="14.42578125" style="6" customWidth="1"/>
    <col min="8663" max="8663" width="13" style="6" customWidth="1"/>
    <col min="8664" max="8689" width="12.7109375" style="6" customWidth="1"/>
    <col min="8690" max="8911" width="8.85546875" style="6"/>
    <col min="8912" max="8912" width="37.42578125" style="6" customWidth="1"/>
    <col min="8913" max="8915" width="0" style="6" hidden="1" customWidth="1"/>
    <col min="8916" max="8916" width="15.42578125" style="6" bestFit="1" customWidth="1"/>
    <col min="8917" max="8917" width="16.140625" style="6" customWidth="1"/>
    <col min="8918" max="8918" width="14.42578125" style="6" customWidth="1"/>
    <col min="8919" max="8919" width="13" style="6" customWidth="1"/>
    <col min="8920" max="8945" width="12.7109375" style="6" customWidth="1"/>
    <col min="8946" max="9167" width="8.85546875" style="6"/>
    <col min="9168" max="9168" width="37.42578125" style="6" customWidth="1"/>
    <col min="9169" max="9171" width="0" style="6" hidden="1" customWidth="1"/>
    <col min="9172" max="9172" width="15.42578125" style="6" bestFit="1" customWidth="1"/>
    <col min="9173" max="9173" width="16.140625" style="6" customWidth="1"/>
    <col min="9174" max="9174" width="14.42578125" style="6" customWidth="1"/>
    <col min="9175" max="9175" width="13" style="6" customWidth="1"/>
    <col min="9176" max="9201" width="12.7109375" style="6" customWidth="1"/>
    <col min="9202" max="9423" width="8.85546875" style="6"/>
    <col min="9424" max="9424" width="37.42578125" style="6" customWidth="1"/>
    <col min="9425" max="9427" width="0" style="6" hidden="1" customWidth="1"/>
    <col min="9428" max="9428" width="15.42578125" style="6" bestFit="1" customWidth="1"/>
    <col min="9429" max="9429" width="16.140625" style="6" customWidth="1"/>
    <col min="9430" max="9430" width="14.42578125" style="6" customWidth="1"/>
    <col min="9431" max="9431" width="13" style="6" customWidth="1"/>
    <col min="9432" max="9457" width="12.7109375" style="6" customWidth="1"/>
    <col min="9458" max="9679" width="8.85546875" style="6"/>
    <col min="9680" max="9680" width="37.42578125" style="6" customWidth="1"/>
    <col min="9681" max="9683" width="0" style="6" hidden="1" customWidth="1"/>
    <col min="9684" max="9684" width="15.42578125" style="6" bestFit="1" customWidth="1"/>
    <col min="9685" max="9685" width="16.140625" style="6" customWidth="1"/>
    <col min="9686" max="9686" width="14.42578125" style="6" customWidth="1"/>
    <col min="9687" max="9687" width="13" style="6" customWidth="1"/>
    <col min="9688" max="9713" width="12.7109375" style="6" customWidth="1"/>
    <col min="9714" max="9935" width="8.85546875" style="6"/>
    <col min="9936" max="9936" width="37.42578125" style="6" customWidth="1"/>
    <col min="9937" max="9939" width="0" style="6" hidden="1" customWidth="1"/>
    <col min="9940" max="9940" width="15.42578125" style="6" bestFit="1" customWidth="1"/>
    <col min="9941" max="9941" width="16.140625" style="6" customWidth="1"/>
    <col min="9942" max="9942" width="14.42578125" style="6" customWidth="1"/>
    <col min="9943" max="9943" width="13" style="6" customWidth="1"/>
    <col min="9944" max="9969" width="12.7109375" style="6" customWidth="1"/>
    <col min="9970" max="10191" width="8.85546875" style="6"/>
    <col min="10192" max="10192" width="37.42578125" style="6" customWidth="1"/>
    <col min="10193" max="10195" width="0" style="6" hidden="1" customWidth="1"/>
    <col min="10196" max="10196" width="15.42578125" style="6" bestFit="1" customWidth="1"/>
    <col min="10197" max="10197" width="16.140625" style="6" customWidth="1"/>
    <col min="10198" max="10198" width="14.42578125" style="6" customWidth="1"/>
    <col min="10199" max="10199" width="13" style="6" customWidth="1"/>
    <col min="10200" max="10225" width="12.7109375" style="6" customWidth="1"/>
    <col min="10226" max="10447" width="8.85546875" style="6"/>
    <col min="10448" max="10448" width="37.42578125" style="6" customWidth="1"/>
    <col min="10449" max="10451" width="0" style="6" hidden="1" customWidth="1"/>
    <col min="10452" max="10452" width="15.42578125" style="6" bestFit="1" customWidth="1"/>
    <col min="10453" max="10453" width="16.140625" style="6" customWidth="1"/>
    <col min="10454" max="10454" width="14.42578125" style="6" customWidth="1"/>
    <col min="10455" max="10455" width="13" style="6" customWidth="1"/>
    <col min="10456" max="10481" width="12.7109375" style="6" customWidth="1"/>
    <col min="10482" max="10703" width="8.85546875" style="6"/>
    <col min="10704" max="10704" width="37.42578125" style="6" customWidth="1"/>
    <col min="10705" max="10707" width="0" style="6" hidden="1" customWidth="1"/>
    <col min="10708" max="10708" width="15.42578125" style="6" bestFit="1" customWidth="1"/>
    <col min="10709" max="10709" width="16.140625" style="6" customWidth="1"/>
    <col min="10710" max="10710" width="14.42578125" style="6" customWidth="1"/>
    <col min="10711" max="10711" width="13" style="6" customWidth="1"/>
    <col min="10712" max="10737" width="12.7109375" style="6" customWidth="1"/>
    <col min="10738" max="10959" width="8.85546875" style="6"/>
    <col min="10960" max="10960" width="37.42578125" style="6" customWidth="1"/>
    <col min="10961" max="10963" width="0" style="6" hidden="1" customWidth="1"/>
    <col min="10964" max="10964" width="15.42578125" style="6" bestFit="1" customWidth="1"/>
    <col min="10965" max="10965" width="16.140625" style="6" customWidth="1"/>
    <col min="10966" max="10966" width="14.42578125" style="6" customWidth="1"/>
    <col min="10967" max="10967" width="13" style="6" customWidth="1"/>
    <col min="10968" max="10993" width="12.7109375" style="6" customWidth="1"/>
    <col min="10994" max="11215" width="8.85546875" style="6"/>
    <col min="11216" max="11216" width="37.42578125" style="6" customWidth="1"/>
    <col min="11217" max="11219" width="0" style="6" hidden="1" customWidth="1"/>
    <col min="11220" max="11220" width="15.42578125" style="6" bestFit="1" customWidth="1"/>
    <col min="11221" max="11221" width="16.140625" style="6" customWidth="1"/>
    <col min="11222" max="11222" width="14.42578125" style="6" customWidth="1"/>
    <col min="11223" max="11223" width="13" style="6" customWidth="1"/>
    <col min="11224" max="11249" width="12.7109375" style="6" customWidth="1"/>
    <col min="11250" max="11471" width="8.85546875" style="6"/>
    <col min="11472" max="11472" width="37.42578125" style="6" customWidth="1"/>
    <col min="11473" max="11475" width="0" style="6" hidden="1" customWidth="1"/>
    <col min="11476" max="11476" width="15.42578125" style="6" bestFit="1" customWidth="1"/>
    <col min="11477" max="11477" width="16.140625" style="6" customWidth="1"/>
    <col min="11478" max="11478" width="14.42578125" style="6" customWidth="1"/>
    <col min="11479" max="11479" width="13" style="6" customWidth="1"/>
    <col min="11480" max="11505" width="12.7109375" style="6" customWidth="1"/>
    <col min="11506" max="11727" width="8.85546875" style="6"/>
    <col min="11728" max="11728" width="37.42578125" style="6" customWidth="1"/>
    <col min="11729" max="11731" width="0" style="6" hidden="1" customWidth="1"/>
    <col min="11732" max="11732" width="15.42578125" style="6" bestFit="1" customWidth="1"/>
    <col min="11733" max="11733" width="16.140625" style="6" customWidth="1"/>
    <col min="11734" max="11734" width="14.42578125" style="6" customWidth="1"/>
    <col min="11735" max="11735" width="13" style="6" customWidth="1"/>
    <col min="11736" max="11761" width="12.7109375" style="6" customWidth="1"/>
    <col min="11762" max="11983" width="8.85546875" style="6"/>
    <col min="11984" max="11984" width="37.42578125" style="6" customWidth="1"/>
    <col min="11985" max="11987" width="0" style="6" hidden="1" customWidth="1"/>
    <col min="11988" max="11988" width="15.42578125" style="6" bestFit="1" customWidth="1"/>
    <col min="11989" max="11989" width="16.140625" style="6" customWidth="1"/>
    <col min="11990" max="11990" width="14.42578125" style="6" customWidth="1"/>
    <col min="11991" max="11991" width="13" style="6" customWidth="1"/>
    <col min="11992" max="12017" width="12.7109375" style="6" customWidth="1"/>
    <col min="12018" max="12239" width="8.85546875" style="6"/>
    <col min="12240" max="12240" width="37.42578125" style="6" customWidth="1"/>
    <col min="12241" max="12243" width="0" style="6" hidden="1" customWidth="1"/>
    <col min="12244" max="12244" width="15.42578125" style="6" bestFit="1" customWidth="1"/>
    <col min="12245" max="12245" width="16.140625" style="6" customWidth="1"/>
    <col min="12246" max="12246" width="14.42578125" style="6" customWidth="1"/>
    <col min="12247" max="12247" width="13" style="6" customWidth="1"/>
    <col min="12248" max="12273" width="12.7109375" style="6" customWidth="1"/>
    <col min="12274" max="12495" width="8.85546875" style="6"/>
    <col min="12496" max="12496" width="37.42578125" style="6" customWidth="1"/>
    <col min="12497" max="12499" width="0" style="6" hidden="1" customWidth="1"/>
    <col min="12500" max="12500" width="15.42578125" style="6" bestFit="1" customWidth="1"/>
    <col min="12501" max="12501" width="16.140625" style="6" customWidth="1"/>
    <col min="12502" max="12502" width="14.42578125" style="6" customWidth="1"/>
    <col min="12503" max="12503" width="13" style="6" customWidth="1"/>
    <col min="12504" max="12529" width="12.7109375" style="6" customWidth="1"/>
    <col min="12530" max="12751" width="8.85546875" style="6"/>
    <col min="12752" max="12752" width="37.42578125" style="6" customWidth="1"/>
    <col min="12753" max="12755" width="0" style="6" hidden="1" customWidth="1"/>
    <col min="12756" max="12756" width="15.42578125" style="6" bestFit="1" customWidth="1"/>
    <col min="12757" max="12757" width="16.140625" style="6" customWidth="1"/>
    <col min="12758" max="12758" width="14.42578125" style="6" customWidth="1"/>
    <col min="12759" max="12759" width="13" style="6" customWidth="1"/>
    <col min="12760" max="12785" width="12.7109375" style="6" customWidth="1"/>
    <col min="12786" max="13007" width="8.85546875" style="6"/>
    <col min="13008" max="13008" width="37.42578125" style="6" customWidth="1"/>
    <col min="13009" max="13011" width="0" style="6" hidden="1" customWidth="1"/>
    <col min="13012" max="13012" width="15.42578125" style="6" bestFit="1" customWidth="1"/>
    <col min="13013" max="13013" width="16.140625" style="6" customWidth="1"/>
    <col min="13014" max="13014" width="14.42578125" style="6" customWidth="1"/>
    <col min="13015" max="13015" width="13" style="6" customWidth="1"/>
    <col min="13016" max="13041" width="12.7109375" style="6" customWidth="1"/>
    <col min="13042" max="13263" width="8.85546875" style="6"/>
    <col min="13264" max="13264" width="37.42578125" style="6" customWidth="1"/>
    <col min="13265" max="13267" width="0" style="6" hidden="1" customWidth="1"/>
    <col min="13268" max="13268" width="15.42578125" style="6" bestFit="1" customWidth="1"/>
    <col min="13269" max="13269" width="16.140625" style="6" customWidth="1"/>
    <col min="13270" max="13270" width="14.42578125" style="6" customWidth="1"/>
    <col min="13271" max="13271" width="13" style="6" customWidth="1"/>
    <col min="13272" max="13297" width="12.7109375" style="6" customWidth="1"/>
    <col min="13298" max="13519" width="8.85546875" style="6"/>
    <col min="13520" max="13520" width="37.42578125" style="6" customWidth="1"/>
    <col min="13521" max="13523" width="0" style="6" hidden="1" customWidth="1"/>
    <col min="13524" max="13524" width="15.42578125" style="6" bestFit="1" customWidth="1"/>
    <col min="13525" max="13525" width="16.140625" style="6" customWidth="1"/>
    <col min="13526" max="13526" width="14.42578125" style="6" customWidth="1"/>
    <col min="13527" max="13527" width="13" style="6" customWidth="1"/>
    <col min="13528" max="13553" width="12.7109375" style="6" customWidth="1"/>
    <col min="13554" max="13775" width="8.85546875" style="6"/>
    <col min="13776" max="13776" width="37.42578125" style="6" customWidth="1"/>
    <col min="13777" max="13779" width="0" style="6" hidden="1" customWidth="1"/>
    <col min="13780" max="13780" width="15.42578125" style="6" bestFit="1" customWidth="1"/>
    <col min="13781" max="13781" width="16.140625" style="6" customWidth="1"/>
    <col min="13782" max="13782" width="14.42578125" style="6" customWidth="1"/>
    <col min="13783" max="13783" width="13" style="6" customWidth="1"/>
    <col min="13784" max="13809" width="12.7109375" style="6" customWidth="1"/>
    <col min="13810" max="14031" width="8.85546875" style="6"/>
    <col min="14032" max="14032" width="37.42578125" style="6" customWidth="1"/>
    <col min="14033" max="14035" width="0" style="6" hidden="1" customWidth="1"/>
    <col min="14036" max="14036" width="15.42578125" style="6" bestFit="1" customWidth="1"/>
    <col min="14037" max="14037" width="16.140625" style="6" customWidth="1"/>
    <col min="14038" max="14038" width="14.42578125" style="6" customWidth="1"/>
    <col min="14039" max="14039" width="13" style="6" customWidth="1"/>
    <col min="14040" max="14065" width="12.7109375" style="6" customWidth="1"/>
    <col min="14066" max="14287" width="8.85546875" style="6"/>
    <col min="14288" max="14288" width="37.42578125" style="6" customWidth="1"/>
    <col min="14289" max="14291" width="0" style="6" hidden="1" customWidth="1"/>
    <col min="14292" max="14292" width="15.42578125" style="6" bestFit="1" customWidth="1"/>
    <col min="14293" max="14293" width="16.140625" style="6" customWidth="1"/>
    <col min="14294" max="14294" width="14.42578125" style="6" customWidth="1"/>
    <col min="14295" max="14295" width="13" style="6" customWidth="1"/>
    <col min="14296" max="14321" width="12.7109375" style="6" customWidth="1"/>
    <col min="14322" max="14543" width="8.85546875" style="6"/>
    <col min="14544" max="14544" width="37.42578125" style="6" customWidth="1"/>
    <col min="14545" max="14547" width="0" style="6" hidden="1" customWidth="1"/>
    <col min="14548" max="14548" width="15.42578125" style="6" bestFit="1" customWidth="1"/>
    <col min="14549" max="14549" width="16.140625" style="6" customWidth="1"/>
    <col min="14550" max="14550" width="14.42578125" style="6" customWidth="1"/>
    <col min="14551" max="14551" width="13" style="6" customWidth="1"/>
    <col min="14552" max="14577" width="12.7109375" style="6" customWidth="1"/>
    <col min="14578" max="14799" width="8.85546875" style="6"/>
    <col min="14800" max="14800" width="37.42578125" style="6" customWidth="1"/>
    <col min="14801" max="14803" width="0" style="6" hidden="1" customWidth="1"/>
    <col min="14804" max="14804" width="15.42578125" style="6" bestFit="1" customWidth="1"/>
    <col min="14805" max="14805" width="16.140625" style="6" customWidth="1"/>
    <col min="14806" max="14806" width="14.42578125" style="6" customWidth="1"/>
    <col min="14807" max="14807" width="13" style="6" customWidth="1"/>
    <col min="14808" max="14833" width="12.7109375" style="6" customWidth="1"/>
    <col min="14834" max="15055" width="8.85546875" style="6"/>
    <col min="15056" max="15056" width="37.42578125" style="6" customWidth="1"/>
    <col min="15057" max="15059" width="0" style="6" hidden="1" customWidth="1"/>
    <col min="15060" max="15060" width="15.42578125" style="6" bestFit="1" customWidth="1"/>
    <col min="15061" max="15061" width="16.140625" style="6" customWidth="1"/>
    <col min="15062" max="15062" width="14.42578125" style="6" customWidth="1"/>
    <col min="15063" max="15063" width="13" style="6" customWidth="1"/>
    <col min="15064" max="15089" width="12.7109375" style="6" customWidth="1"/>
    <col min="15090" max="15311" width="8.85546875" style="6"/>
    <col min="15312" max="15312" width="37.42578125" style="6" customWidth="1"/>
    <col min="15313" max="15315" width="0" style="6" hidden="1" customWidth="1"/>
    <col min="15316" max="15316" width="15.42578125" style="6" bestFit="1" customWidth="1"/>
    <col min="15317" max="15317" width="16.140625" style="6" customWidth="1"/>
    <col min="15318" max="15318" width="14.42578125" style="6" customWidth="1"/>
    <col min="15319" max="15319" width="13" style="6" customWidth="1"/>
    <col min="15320" max="15345" width="12.7109375" style="6" customWidth="1"/>
    <col min="15346" max="15567" width="8.85546875" style="6"/>
    <col min="15568" max="15568" width="37.42578125" style="6" customWidth="1"/>
    <col min="15569" max="15571" width="0" style="6" hidden="1" customWidth="1"/>
    <col min="15572" max="15572" width="15.42578125" style="6" bestFit="1" customWidth="1"/>
    <col min="15573" max="15573" width="16.140625" style="6" customWidth="1"/>
    <col min="15574" max="15574" width="14.42578125" style="6" customWidth="1"/>
    <col min="15575" max="15575" width="13" style="6" customWidth="1"/>
    <col min="15576" max="15601" width="12.7109375" style="6" customWidth="1"/>
    <col min="15602" max="15823" width="8.85546875" style="6"/>
    <col min="15824" max="15824" width="37.42578125" style="6" customWidth="1"/>
    <col min="15825" max="15827" width="0" style="6" hidden="1" customWidth="1"/>
    <col min="15828" max="15828" width="15.42578125" style="6" bestFit="1" customWidth="1"/>
    <col min="15829" max="15829" width="16.140625" style="6" customWidth="1"/>
    <col min="15830" max="15830" width="14.42578125" style="6" customWidth="1"/>
    <col min="15831" max="15831" width="13" style="6" customWidth="1"/>
    <col min="15832" max="15857" width="12.7109375" style="6" customWidth="1"/>
    <col min="15858" max="16079" width="8.85546875" style="6"/>
    <col min="16080" max="16080" width="37.42578125" style="6" customWidth="1"/>
    <col min="16081" max="16083" width="0" style="6" hidden="1" customWidth="1"/>
    <col min="16084" max="16084" width="15.42578125" style="6" bestFit="1" customWidth="1"/>
    <col min="16085" max="16085" width="16.140625" style="6" customWidth="1"/>
    <col min="16086" max="16086" width="14.42578125" style="6" customWidth="1"/>
    <col min="16087" max="16087" width="13" style="6" customWidth="1"/>
    <col min="16088" max="16113" width="12.7109375" style="6" customWidth="1"/>
    <col min="16114" max="16384" width="8.85546875" style="6"/>
  </cols>
  <sheetData>
    <row r="2" spans="2:5" ht="14.25" x14ac:dyDescent="0.2">
      <c r="B2" s="2" t="s">
        <v>13</v>
      </c>
    </row>
    <row r="3" spans="2:5" ht="14.25" x14ac:dyDescent="0.2">
      <c r="B3" s="76" t="s">
        <v>191</v>
      </c>
    </row>
    <row r="4" spans="2:5" ht="15" customHeight="1" x14ac:dyDescent="0.2">
      <c r="B4" s="544" t="s">
        <v>196</v>
      </c>
      <c r="C4" s="544"/>
      <c r="D4" s="544"/>
      <c r="E4" s="544"/>
    </row>
    <row r="5" spans="2:5" ht="5.0999999999999996" customHeight="1" thickBot="1" x14ac:dyDescent="0.25"/>
    <row r="6" spans="2:5" s="7" customFormat="1" ht="39.950000000000003" customHeight="1" thickBot="1" x14ac:dyDescent="0.25">
      <c r="B6" s="54" t="s">
        <v>15</v>
      </c>
      <c r="C6" s="55" t="s">
        <v>37</v>
      </c>
      <c r="D6" s="55" t="s">
        <v>86</v>
      </c>
      <c r="E6" s="4"/>
    </row>
    <row r="7" spans="2:5" s="7" customFormat="1" ht="12.75" customHeight="1" x14ac:dyDescent="0.2">
      <c r="B7" s="78">
        <v>2014</v>
      </c>
      <c r="C7" s="79">
        <v>0</v>
      </c>
      <c r="D7" s="202">
        <f>-'Project Costs'!C8</f>
        <v>-2321061.5630999999</v>
      </c>
      <c r="E7" s="4"/>
    </row>
    <row r="8" spans="2:5" ht="12.75" customHeight="1" x14ac:dyDescent="0.2">
      <c r="B8" s="43">
        <v>2015</v>
      </c>
      <c r="C8" s="44">
        <v>1</v>
      </c>
      <c r="D8" s="202">
        <f>-'Project Costs'!C9</f>
        <v>-11605307.815499999</v>
      </c>
      <c r="E8" s="74"/>
    </row>
    <row r="9" spans="2:5" ht="12.75" customHeight="1" x14ac:dyDescent="0.2">
      <c r="B9" s="43">
        <v>2016</v>
      </c>
      <c r="C9" s="44">
        <v>2</v>
      </c>
      <c r="D9" s="202">
        <f>-'Project Costs'!C10-'Project Costs'!C11</f>
        <v>-10581486.4824</v>
      </c>
      <c r="E9" s="4"/>
    </row>
    <row r="10" spans="2:5" x14ac:dyDescent="0.2">
      <c r="B10" s="43">
        <v>2017</v>
      </c>
      <c r="C10" s="44">
        <v>3</v>
      </c>
      <c r="D10" s="202">
        <v>0</v>
      </c>
      <c r="E10" s="4"/>
    </row>
    <row r="11" spans="2:5" ht="12.75" customHeight="1" x14ac:dyDescent="0.2">
      <c r="B11" s="43">
        <v>2018</v>
      </c>
      <c r="C11" s="44">
        <v>4</v>
      </c>
      <c r="D11" s="202">
        <v>0</v>
      </c>
      <c r="E11" s="4"/>
    </row>
    <row r="12" spans="2:5" ht="12.75" customHeight="1" x14ac:dyDescent="0.2">
      <c r="B12" s="43">
        <v>2019</v>
      </c>
      <c r="C12" s="44">
        <v>5</v>
      </c>
      <c r="D12" s="202">
        <v>0</v>
      </c>
      <c r="E12" s="4"/>
    </row>
    <row r="13" spans="2:5" ht="12.75" customHeight="1" x14ac:dyDescent="0.2">
      <c r="B13" s="43">
        <v>2020</v>
      </c>
      <c r="C13" s="44">
        <v>6</v>
      </c>
      <c r="D13" s="202">
        <v>0</v>
      </c>
      <c r="E13" s="4"/>
    </row>
    <row r="14" spans="2:5" ht="12.75" customHeight="1" x14ac:dyDescent="0.2">
      <c r="B14" s="43">
        <v>2021</v>
      </c>
      <c r="C14" s="44">
        <v>7</v>
      </c>
      <c r="D14" s="202">
        <v>0</v>
      </c>
      <c r="E14" s="4"/>
    </row>
    <row r="15" spans="2:5" ht="12.75" customHeight="1" x14ac:dyDescent="0.2">
      <c r="B15" s="43">
        <v>2022</v>
      </c>
      <c r="C15" s="44">
        <v>8</v>
      </c>
      <c r="D15" s="202">
        <v>0</v>
      </c>
      <c r="E15" s="4"/>
    </row>
    <row r="16" spans="2:5" s="5" customFormat="1" ht="12.75" customHeight="1" x14ac:dyDescent="0.2">
      <c r="B16" s="43">
        <v>2023</v>
      </c>
      <c r="C16" s="44">
        <v>9</v>
      </c>
      <c r="D16" s="202">
        <v>0</v>
      </c>
      <c r="E16" s="4"/>
    </row>
    <row r="17" spans="2:5" ht="12.75" customHeight="1" x14ac:dyDescent="0.2">
      <c r="B17" s="43">
        <v>2024</v>
      </c>
      <c r="C17" s="44">
        <v>10</v>
      </c>
      <c r="D17" s="202">
        <v>0</v>
      </c>
      <c r="E17" s="4"/>
    </row>
    <row r="18" spans="2:5" ht="12.75" customHeight="1" x14ac:dyDescent="0.2">
      <c r="B18" s="43">
        <v>2025</v>
      </c>
      <c r="C18" s="44">
        <v>11</v>
      </c>
      <c r="D18" s="202">
        <v>0</v>
      </c>
      <c r="E18" s="4"/>
    </row>
    <row r="19" spans="2:5" ht="12.75" customHeight="1" x14ac:dyDescent="0.2">
      <c r="B19" s="43">
        <v>2026</v>
      </c>
      <c r="C19" s="44">
        <v>12</v>
      </c>
      <c r="D19" s="202">
        <v>0</v>
      </c>
      <c r="E19" s="4"/>
    </row>
    <row r="20" spans="2:5" ht="12.75" customHeight="1" x14ac:dyDescent="0.2">
      <c r="B20" s="43">
        <v>2027</v>
      </c>
      <c r="C20" s="44">
        <v>13</v>
      </c>
      <c r="D20" s="202">
        <v>0</v>
      </c>
      <c r="E20" s="4"/>
    </row>
    <row r="21" spans="2:5" ht="12.75" customHeight="1" x14ac:dyDescent="0.2">
      <c r="B21" s="43">
        <v>2028</v>
      </c>
      <c r="C21" s="44">
        <v>14</v>
      </c>
      <c r="D21" s="202">
        <v>0</v>
      </c>
      <c r="E21" s="4"/>
    </row>
    <row r="22" spans="2:5" ht="12.75" customHeight="1" x14ac:dyDescent="0.2">
      <c r="B22" s="43">
        <v>2029</v>
      </c>
      <c r="C22" s="44">
        <v>15</v>
      </c>
      <c r="D22" s="202">
        <v>0</v>
      </c>
      <c r="E22" s="4"/>
    </row>
    <row r="23" spans="2:5" ht="12.75" customHeight="1" x14ac:dyDescent="0.2">
      <c r="B23" s="43">
        <v>2030</v>
      </c>
      <c r="C23" s="44">
        <v>16</v>
      </c>
      <c r="D23" s="202">
        <v>0</v>
      </c>
      <c r="E23" s="4"/>
    </row>
    <row r="24" spans="2:5" ht="12.75" customHeight="1" x14ac:dyDescent="0.2">
      <c r="B24" s="43">
        <v>2031</v>
      </c>
      <c r="C24" s="44">
        <v>17</v>
      </c>
      <c r="D24" s="202">
        <v>0</v>
      </c>
      <c r="E24" s="4"/>
    </row>
    <row r="25" spans="2:5" ht="12.75" customHeight="1" x14ac:dyDescent="0.2">
      <c r="B25" s="43">
        <v>2032</v>
      </c>
      <c r="C25" s="44">
        <v>18</v>
      </c>
      <c r="D25" s="202">
        <v>0</v>
      </c>
      <c r="E25" s="4"/>
    </row>
    <row r="26" spans="2:5" ht="12.75" customHeight="1" x14ac:dyDescent="0.2">
      <c r="B26" s="43">
        <v>2033</v>
      </c>
      <c r="C26" s="44">
        <v>19</v>
      </c>
      <c r="D26" s="202">
        <v>0</v>
      </c>
      <c r="E26" s="4"/>
    </row>
    <row r="27" spans="2:5" ht="12.75" customHeight="1" x14ac:dyDescent="0.2">
      <c r="B27" s="43">
        <v>2034</v>
      </c>
      <c r="C27" s="44">
        <v>20</v>
      </c>
      <c r="D27" s="202">
        <v>0</v>
      </c>
      <c r="E27" s="4"/>
    </row>
    <row r="28" spans="2:5" ht="12.75" customHeight="1" x14ac:dyDescent="0.2">
      <c r="B28" s="43">
        <v>2035</v>
      </c>
      <c r="C28" s="44">
        <v>21</v>
      </c>
      <c r="D28" s="202">
        <v>0</v>
      </c>
      <c r="E28" s="4"/>
    </row>
    <row r="29" spans="2:5" ht="12.75" customHeight="1" x14ac:dyDescent="0.2">
      <c r="B29" s="43">
        <v>2036</v>
      </c>
      <c r="C29" s="44">
        <v>22</v>
      </c>
      <c r="D29" s="202">
        <v>0</v>
      </c>
      <c r="E29" s="4"/>
    </row>
    <row r="30" spans="2:5" ht="12.75" customHeight="1" x14ac:dyDescent="0.2">
      <c r="B30" s="43">
        <v>2037</v>
      </c>
      <c r="C30" s="44">
        <v>23</v>
      </c>
      <c r="D30" s="202">
        <v>0</v>
      </c>
      <c r="E30" s="4"/>
    </row>
    <row r="31" spans="2:5" ht="12.75" customHeight="1" x14ac:dyDescent="0.2">
      <c r="B31" s="43">
        <v>2038</v>
      </c>
      <c r="C31" s="44">
        <v>24</v>
      </c>
      <c r="D31" s="202">
        <v>0</v>
      </c>
      <c r="E31" s="4"/>
    </row>
    <row r="32" spans="2:5" ht="12.75" customHeight="1" x14ac:dyDescent="0.2">
      <c r="B32" s="43">
        <v>2039</v>
      </c>
      <c r="C32" s="44">
        <v>25</v>
      </c>
      <c r="D32" s="202">
        <v>0</v>
      </c>
      <c r="E32" s="4"/>
    </row>
    <row r="33" spans="2:5" ht="12.75" customHeight="1" x14ac:dyDescent="0.2">
      <c r="B33" s="43">
        <v>2040</v>
      </c>
      <c r="C33" s="44">
        <v>26</v>
      </c>
      <c r="D33" s="202">
        <v>0</v>
      </c>
      <c r="E33" s="4"/>
    </row>
    <row r="34" spans="2:5" ht="12.75" customHeight="1" x14ac:dyDescent="0.2">
      <c r="B34" s="43">
        <v>2041</v>
      </c>
      <c r="C34" s="44">
        <v>27</v>
      </c>
      <c r="D34" s="202">
        <v>0</v>
      </c>
      <c r="E34" s="4"/>
    </row>
    <row r="35" spans="2:5" ht="12.75" customHeight="1" x14ac:dyDescent="0.2">
      <c r="B35" s="43">
        <v>2042</v>
      </c>
      <c r="C35" s="44">
        <v>28</v>
      </c>
      <c r="D35" s="202">
        <v>0</v>
      </c>
      <c r="E35" s="4"/>
    </row>
    <row r="36" spans="2:5" ht="12.75" customHeight="1" x14ac:dyDescent="0.2">
      <c r="B36" s="43">
        <v>2043</v>
      </c>
      <c r="C36" s="44">
        <v>29</v>
      </c>
      <c r="D36" s="202">
        <v>0</v>
      </c>
      <c r="E36" s="4"/>
    </row>
    <row r="37" spans="2:5" ht="12.75" customHeight="1" x14ac:dyDescent="0.2">
      <c r="B37" s="43">
        <v>2044</v>
      </c>
      <c r="C37" s="44">
        <v>30</v>
      </c>
      <c r="D37" s="202">
        <v>0</v>
      </c>
      <c r="E37" s="4"/>
    </row>
    <row r="38" spans="2:5" ht="12.75" customHeight="1" x14ac:dyDescent="0.2">
      <c r="B38" s="45">
        <v>2045</v>
      </c>
      <c r="C38" s="46">
        <v>31</v>
      </c>
      <c r="D38" s="203">
        <v>0</v>
      </c>
      <c r="E38" s="4"/>
    </row>
    <row r="39" spans="2:5" ht="12.75" customHeight="1" x14ac:dyDescent="0.2">
      <c r="B39" s="72" t="s">
        <v>6</v>
      </c>
      <c r="C39" s="53" t="str">
        <f>"0-31"</f>
        <v>0-31</v>
      </c>
      <c r="D39" s="204">
        <f>SUM(D7:D38)</f>
        <v>-24507855.860999998</v>
      </c>
      <c r="E39" s="40"/>
    </row>
    <row r="40" spans="2:5" ht="5.0999999999999996" customHeight="1" x14ac:dyDescent="0.2">
      <c r="B40" s="48"/>
      <c r="C40" s="49"/>
      <c r="D40" s="204"/>
    </row>
    <row r="41" spans="2:5" ht="27.95" customHeight="1" x14ac:dyDescent="0.2">
      <c r="B41" s="542" t="s">
        <v>58</v>
      </c>
      <c r="C41" s="543"/>
      <c r="D41" s="204">
        <f>NPV(0.03,D8:D38)+D7</f>
        <v>-23562416.575226493</v>
      </c>
    </row>
    <row r="42" spans="2:5" ht="27.95" customHeight="1" x14ac:dyDescent="0.2">
      <c r="B42" s="542" t="s">
        <v>59</v>
      </c>
      <c r="C42" s="543"/>
      <c r="D42" s="204">
        <f>NPV(0.07,D8:D38)+D7</f>
        <v>-22409423.730088379</v>
      </c>
    </row>
    <row r="43" spans="2:5" ht="5.0999999999999996" customHeight="1" thickBot="1" x14ac:dyDescent="0.25">
      <c r="B43" s="50"/>
      <c r="C43" s="52"/>
      <c r="D43" s="52"/>
    </row>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4:4" ht="12.75" customHeight="1" x14ac:dyDescent="0.2"/>
    <row r="50" spans="4:4" s="5" customFormat="1" ht="12.75" customHeight="1" x14ac:dyDescent="0.2"/>
    <row r="51" spans="4:4" s="5" customFormat="1" ht="12.75" customHeight="1" x14ac:dyDescent="0.2"/>
    <row r="52" spans="4:4" s="5" customFormat="1" ht="12.75" customHeight="1" x14ac:dyDescent="0.2"/>
    <row r="53" spans="4:4" s="5" customFormat="1" ht="12.75" customHeight="1" x14ac:dyDescent="0.2"/>
    <row r="54" spans="4:4" s="5" customFormat="1" ht="12.75" customHeight="1" x14ac:dyDescent="0.2"/>
    <row r="55" spans="4:4" s="5" customFormat="1" ht="12.75" customHeight="1" x14ac:dyDescent="0.2"/>
    <row r="56" spans="4:4" s="5" customFormat="1" ht="12.75" customHeight="1" x14ac:dyDescent="0.2"/>
    <row r="57" spans="4:4" s="5" customFormat="1" ht="12.75" customHeight="1" x14ac:dyDescent="0.2"/>
    <row r="58" spans="4:4" s="5" customFormat="1" ht="12.75" customHeight="1" x14ac:dyDescent="0.2"/>
    <row r="59" spans="4:4" s="5" customFormat="1" ht="12.75" customHeight="1" x14ac:dyDescent="0.2"/>
    <row r="60" spans="4:4" s="5" customFormat="1" ht="12.75" customHeight="1" x14ac:dyDescent="0.2"/>
    <row r="61" spans="4:4" s="8" customFormat="1" ht="12.75" customHeight="1" x14ac:dyDescent="0.2">
      <c r="D61" s="5"/>
    </row>
    <row r="62" spans="4:4" s="8" customFormat="1" ht="12.75" customHeight="1" x14ac:dyDescent="0.2">
      <c r="D62" s="5"/>
    </row>
    <row r="63" spans="4:4" s="8" customFormat="1" ht="12.75" customHeight="1" x14ac:dyDescent="0.2">
      <c r="D63" s="5"/>
    </row>
    <row r="64" spans="4:4" s="5" customFormat="1" x14ac:dyDescent="0.2"/>
    <row r="73" ht="26.25" customHeight="1" x14ac:dyDescent="0.2"/>
  </sheetData>
  <mergeCells count="3">
    <mergeCell ref="B41:C41"/>
    <mergeCell ref="B42:C42"/>
    <mergeCell ref="B4:E4"/>
  </mergeCells>
  <pageMargins left="0.25" right="0.25" top="0.75" bottom="0.75" header="0.3" footer="0.3"/>
  <pageSetup firstPageNumber="15"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Table of Contents</vt:lpstr>
      <vt:lpstr>Project Matrix</vt:lpstr>
      <vt:lpstr>Detailed Annual Model</vt:lpstr>
      <vt:lpstr>Benefits Summary</vt:lpstr>
      <vt:lpstr>Cost and Funding Summary</vt:lpstr>
      <vt:lpstr>BCA Ratio</vt:lpstr>
      <vt:lpstr>Benefits and Costs Summary</vt:lpstr>
      <vt:lpstr>Job Creation </vt:lpstr>
      <vt:lpstr>Construction Costs Summary</vt:lpstr>
      <vt:lpstr>Maintenance Costs Summary</vt:lpstr>
      <vt:lpstr>Lifecycle Cost Savings Summary</vt:lpstr>
      <vt:lpstr>Land Value - Existing Summary</vt:lpstr>
      <vt:lpstr>Land Value - New Summary</vt:lpstr>
      <vt:lpstr>Safety Summary</vt:lpstr>
      <vt:lpstr>Project Costs</vt:lpstr>
      <vt:lpstr>Project Costs by Quarter</vt:lpstr>
      <vt:lpstr>Maintenance and Repair Costs</vt:lpstr>
      <vt:lpstr>No Build Maintenance </vt:lpstr>
      <vt:lpstr>Land Value Assumptions</vt:lpstr>
      <vt:lpstr>Safety Assumptions</vt:lpstr>
      <vt:lpstr>CPI Data</vt:lpstr>
      <vt:lpstr>Safety Benefits Calculation</vt:lpstr>
      <vt:lpstr>Land Value Calc. - Existing</vt:lpstr>
      <vt:lpstr>Dev Assumptions &amp; Summary</vt:lpstr>
      <vt:lpstr>Development Costs</vt:lpstr>
      <vt:lpstr>Dev Program Opt 1</vt:lpstr>
      <vt:lpstr>Scen 1 Proforma</vt:lpstr>
      <vt:lpstr>Dev Program Opt 2</vt:lpstr>
      <vt:lpstr>Scen 2 Proforma</vt:lpstr>
      <vt:lpstr>'BCA Ratio'!Print_Area</vt:lpstr>
      <vt:lpstr>'Benefits and Costs Summary'!Print_Area</vt:lpstr>
      <vt:lpstr>'Benefits Summary'!Print_Area</vt:lpstr>
      <vt:lpstr>'Construction Costs Summary'!Print_Area</vt:lpstr>
      <vt:lpstr>'Cost and Funding Summary'!Print_Area</vt:lpstr>
      <vt:lpstr>'CPI Data'!Print_Area</vt:lpstr>
      <vt:lpstr>'Detailed Annual Model'!Print_Area</vt:lpstr>
      <vt:lpstr>'Dev Assumptions &amp; Summary'!Print_Area</vt:lpstr>
      <vt:lpstr>'Dev Program Opt 1'!Print_Area</vt:lpstr>
      <vt:lpstr>'Dev Program Opt 2'!Print_Area</vt:lpstr>
      <vt:lpstr>'Development Costs'!Print_Area</vt:lpstr>
      <vt:lpstr>'Job Creation '!Print_Area</vt:lpstr>
      <vt:lpstr>'Land Value - Existing Summary'!Print_Area</vt:lpstr>
      <vt:lpstr>'Land Value - New Summary'!Print_Area</vt:lpstr>
      <vt:lpstr>'Land Value Assumptions'!Print_Area</vt:lpstr>
      <vt:lpstr>'Lifecycle Cost Savings Summary'!Print_Area</vt:lpstr>
      <vt:lpstr>'Maintenance and Repair Costs'!Print_Area</vt:lpstr>
      <vt:lpstr>'Maintenance Costs Summary'!Print_Area</vt:lpstr>
      <vt:lpstr>'No Build Maintenance '!Print_Area</vt:lpstr>
      <vt:lpstr>'Project Costs'!Print_Area</vt:lpstr>
      <vt:lpstr>'Project Costs by Quarter'!Print_Area</vt:lpstr>
      <vt:lpstr>'Project Matrix'!Print_Area</vt:lpstr>
      <vt:lpstr>'Safety Assumptions'!Print_Area</vt:lpstr>
      <vt:lpstr>'Safety Summary'!Print_Area</vt:lpstr>
      <vt:lpstr>'Scen 1 Proforma'!Print_Area</vt:lpstr>
      <vt:lpstr>'Scen 2 Proforma'!Print_Area</vt:lpstr>
      <vt:lpstr>'Table of Contents'!Print_Area</vt:lpstr>
      <vt:lpstr>'Detailed Annual Model'!Print_Titles</vt:lpstr>
      <vt:lpstr>'Land Value Calc. - Existing'!Print_Titles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Mitnik</dc:creator>
  <cp:lastModifiedBy>Kyle Vangel</cp:lastModifiedBy>
  <cp:lastPrinted>2013-06-03T15:52:21Z</cp:lastPrinted>
  <dcterms:created xsi:type="dcterms:W3CDTF">2012-02-17T16:23:04Z</dcterms:created>
  <dcterms:modified xsi:type="dcterms:W3CDTF">2013-06-03T19:05:57Z</dcterms:modified>
</cp:coreProperties>
</file>